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nowit.sharepoint.com/sites/Func-100-Finance/Shared Documents/11 Resultat koncernen/Res 2025/2025-12/Underlag Q-rapport/"/>
    </mc:Choice>
  </mc:AlternateContent>
  <xr:revisionPtr revIDLastSave="1207" documentId="8_{3FEDE457-A7D7-4E2A-B240-74C917E5848D}" xr6:coauthVersionLast="47" xr6:coauthVersionMax="47" xr10:uidLastSave="{AF205D1E-769D-44CA-942C-42F4E1CBCE36}"/>
  <bookViews>
    <workbookView xWindow="-110" yWindow="-110" windowWidth="34620" windowHeight="13900" activeTab="3" xr2:uid="{E42C8895-1A70-4671-9DA1-B1BA8C58FE5E}"/>
  </bookViews>
  <sheets>
    <sheet name="PL" sheetId="1" r:id="rId1"/>
    <sheet name="BS" sheetId="2" r:id="rId2"/>
    <sheet name="CFA" sheetId="4" r:id="rId3"/>
    <sheet name="Business area" sheetId="5" r:id="rId4"/>
    <sheet name="Country" sheetId="6" r:id="rId5"/>
    <sheet name="Key figures" sheetId="3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B17" i="1"/>
  <c r="K17" i="1"/>
  <c r="K15" i="1"/>
  <c r="B13" i="1"/>
  <c r="C10" i="4"/>
  <c r="C13" i="4" s="1"/>
  <c r="C7" i="4"/>
  <c r="C20" i="2"/>
  <c r="C22" i="2" s="1"/>
  <c r="C29" i="2" s="1"/>
  <c r="C13" i="2"/>
  <c r="B9" i="1"/>
  <c r="B10" i="1" s="1"/>
  <c r="H24" i="2"/>
  <c r="B22" i="1" l="1"/>
  <c r="I24" i="2"/>
  <c r="E24" i="2" l="1"/>
  <c r="D24" i="2"/>
  <c r="D7" i="4" l="1"/>
  <c r="D10" i="4" s="1"/>
  <c r="D13" i="4" s="1"/>
  <c r="D20" i="2"/>
  <c r="D22" i="2" s="1"/>
  <c r="D29" i="2" s="1"/>
  <c r="D13" i="2"/>
  <c r="D9" i="1"/>
  <c r="D17" i="1" s="1"/>
  <c r="D20" i="1" s="1"/>
  <c r="D22" i="1" s="1"/>
  <c r="E5" i="4"/>
  <c r="E7" i="4" s="1"/>
  <c r="E10" i="4" s="1"/>
  <c r="E13" i="4" s="1"/>
  <c r="B13" i="2"/>
  <c r="E20" i="2"/>
  <c r="E22" i="2" s="1"/>
  <c r="E29" i="2" s="1"/>
  <c r="E13" i="2"/>
  <c r="E9" i="1"/>
  <c r="E17" i="1" s="1"/>
  <c r="E20" i="1" s="1"/>
  <c r="E22" i="1" s="1"/>
  <c r="B7" i="4"/>
  <c r="B10" i="4" s="1"/>
  <c r="B13" i="4" s="1"/>
  <c r="F20" i="2"/>
  <c r="F22" i="2" s="1"/>
  <c r="F29" i="2" s="1"/>
  <c r="F13" i="2"/>
  <c r="F9" i="1"/>
  <c r="F17" i="1" s="1"/>
  <c r="F20" i="1" s="1"/>
  <c r="F22" i="1" s="1"/>
  <c r="L28" i="6"/>
  <c r="F7" i="4"/>
  <c r="F10" i="4" s="1"/>
  <c r="F13" i="4" s="1"/>
  <c r="B20" i="2"/>
  <c r="B22" i="2" s="1"/>
  <c r="B29" i="2" s="1"/>
  <c r="C9" i="1"/>
  <c r="C17" i="1" s="1"/>
  <c r="C20" i="1" s="1"/>
  <c r="C22" i="1" s="1"/>
  <c r="G7" i="4"/>
  <c r="G10" i="4" s="1"/>
  <c r="G13" i="4" s="1"/>
  <c r="H7" i="4"/>
  <c r="H10" i="4" s="1"/>
  <c r="H13" i="4" s="1"/>
  <c r="H20" i="2"/>
  <c r="H22" i="2" s="1"/>
  <c r="H29" i="2" s="1"/>
  <c r="H13" i="2"/>
  <c r="H9" i="1"/>
  <c r="H10" i="1" s="1"/>
  <c r="D10" i="1" l="1"/>
  <c r="E10" i="1"/>
  <c r="F10" i="1"/>
  <c r="H17" i="1"/>
  <c r="H20" i="1" s="1"/>
  <c r="H22" i="1" s="1"/>
  <c r="C10" i="1"/>
  <c r="G13" i="2"/>
  <c r="G20" i="2"/>
  <c r="G22" i="2" s="1"/>
  <c r="G29" i="2" s="1"/>
  <c r="G9" i="1"/>
  <c r="G10" i="1" s="1"/>
  <c r="K7" i="1"/>
  <c r="K5" i="1"/>
  <c r="I7" i="4"/>
  <c r="I10" i="4" s="1"/>
  <c r="I13" i="4" s="1"/>
  <c r="I20" i="2"/>
  <c r="I22" i="2" s="1"/>
  <c r="I29" i="2" s="1"/>
  <c r="I13" i="2"/>
  <c r="I9" i="1"/>
  <c r="I17" i="1" s="1"/>
  <c r="I20" i="1" s="1"/>
  <c r="N27" i="5"/>
  <c r="O27" i="5"/>
  <c r="N21" i="5"/>
  <c r="O21" i="5"/>
  <c r="N15" i="5"/>
  <c r="O15" i="5"/>
  <c r="N9" i="5"/>
  <c r="O9" i="5"/>
  <c r="T15" i="5"/>
  <c r="U21" i="5"/>
  <c r="Q27" i="5"/>
  <c r="J8" i="6"/>
  <c r="J23" i="6"/>
  <c r="J18" i="6"/>
  <c r="J13" i="6"/>
  <c r="J7" i="4"/>
  <c r="J10" i="4" s="1"/>
  <c r="J13" i="4" s="1"/>
  <c r="J20" i="2"/>
  <c r="J22" i="2" s="1"/>
  <c r="J29" i="2" s="1"/>
  <c r="J13" i="2"/>
  <c r="J9" i="1"/>
  <c r="J17" i="1" s="1"/>
  <c r="J20" i="1" s="1"/>
  <c r="J22" i="1" s="1"/>
  <c r="J24" i="1" s="1"/>
  <c r="K28" i="6"/>
  <c r="K23" i="6"/>
  <c r="K18" i="6"/>
  <c r="K13" i="6"/>
  <c r="K8" i="6"/>
  <c r="K7" i="4"/>
  <c r="K10" i="4" s="1"/>
  <c r="K13" i="4" s="1"/>
  <c r="K20" i="2"/>
  <c r="K22" i="2" s="1"/>
  <c r="K29" i="2" s="1"/>
  <c r="K13" i="2"/>
  <c r="G17" i="1" l="1"/>
  <c r="K9" i="1"/>
  <c r="I22" i="1"/>
  <c r="I10" i="1"/>
  <c r="J10" i="1"/>
  <c r="G20" i="1" l="1"/>
  <c r="G22" i="1" s="1"/>
  <c r="K20" i="1"/>
  <c r="K22" i="1" s="1"/>
  <c r="K24" i="1" s="1"/>
  <c r="L23" i="6"/>
  <c r="L18" i="6"/>
  <c r="L13" i="6"/>
  <c r="L8" i="6"/>
  <c r="L7" i="4"/>
  <c r="L10" i="4" s="1"/>
  <c r="L13" i="4" s="1"/>
  <c r="L20" i="2"/>
  <c r="L22" i="2" s="1"/>
  <c r="L29" i="2" s="1"/>
  <c r="L13" i="2"/>
  <c r="L9" i="1"/>
  <c r="L17" i="1" s="1"/>
  <c r="L20" i="1" s="1"/>
  <c r="L22" i="1" s="1"/>
  <c r="L24" i="1" s="1"/>
  <c r="P8" i="6"/>
  <c r="O8" i="6"/>
  <c r="N8" i="6"/>
  <c r="M9" i="1"/>
  <c r="M17" i="1" s="1"/>
  <c r="M20" i="1" s="1"/>
  <c r="M22" i="1" s="1"/>
  <c r="M24" i="1" s="1"/>
  <c r="M28" i="6"/>
  <c r="M18" i="6"/>
  <c r="M23" i="6"/>
  <c r="M13" i="6"/>
  <c r="M8" i="6"/>
  <c r="M7" i="4"/>
  <c r="M10" i="4" s="1"/>
  <c r="M13" i="4" s="1"/>
  <c r="M20" i="2"/>
  <c r="M22" i="2" s="1"/>
  <c r="M29" i="2" s="1"/>
  <c r="M13" i="2"/>
  <c r="N7" i="4"/>
  <c r="N10" i="4" s="1"/>
  <c r="N13" i="4" s="1"/>
  <c r="L10" i="1" l="1"/>
  <c r="M10" i="1"/>
  <c r="N20" i="2"/>
  <c r="N22" i="2" s="1"/>
  <c r="N29" i="2" s="1"/>
  <c r="N13" i="2"/>
  <c r="N9" i="1"/>
  <c r="N28" i="6"/>
  <c r="N18" i="6"/>
  <c r="N13" i="6"/>
  <c r="N23" i="6"/>
  <c r="U25" i="1"/>
  <c r="O9" i="1"/>
  <c r="O10" i="1" s="1"/>
  <c r="O7" i="4"/>
  <c r="O10" i="4" s="1"/>
  <c r="O13" i="4" s="1"/>
  <c r="O20" i="2"/>
  <c r="O22" i="2" s="1"/>
  <c r="O29" i="2" s="1"/>
  <c r="O13" i="2"/>
  <c r="O13" i="6"/>
  <c r="O23" i="6"/>
  <c r="S27" i="5"/>
  <c r="N17" i="1" l="1"/>
  <c r="N20" i="1" s="1"/>
  <c r="N22" i="1" s="1"/>
  <c r="N24" i="1" s="1"/>
  <c r="N10" i="1"/>
  <c r="O17" i="1"/>
  <c r="O20" i="1" s="1"/>
  <c r="O22" i="1" s="1"/>
  <c r="O24" i="1" s="1"/>
  <c r="P5" i="3"/>
  <c r="P7" i="3" s="1"/>
  <c r="P27" i="5" l="1"/>
  <c r="P21" i="5"/>
  <c r="P15" i="5"/>
  <c r="P9" i="5"/>
  <c r="P7" i="4"/>
  <c r="P20" i="2"/>
  <c r="P22" i="2" s="1"/>
  <c r="P29" i="2" s="1"/>
  <c r="P13" i="2"/>
  <c r="P9" i="1"/>
  <c r="P8" i="3" l="1"/>
  <c r="P10" i="1"/>
  <c r="P9" i="3" s="1"/>
  <c r="P10" i="4"/>
  <c r="P13" i="4" s="1"/>
  <c r="P12" i="3"/>
  <c r="P17" i="1"/>
  <c r="P20" i="1" l="1"/>
  <c r="P22" i="1" s="1"/>
  <c r="P24" i="1" s="1"/>
  <c r="P10" i="3"/>
  <c r="P28" i="6"/>
  <c r="P18" i="6"/>
  <c r="P23" i="6"/>
  <c r="P13" i="6"/>
  <c r="R27" i="5" l="1"/>
  <c r="S9" i="5" l="1"/>
  <c r="R9" i="5"/>
  <c r="T7" i="1"/>
  <c r="T9" i="1" s="1"/>
  <c r="S7" i="1"/>
  <c r="S9" i="1" s="1"/>
  <c r="R7" i="1"/>
  <c r="R9" i="1" s="1"/>
  <c r="Q7" i="1"/>
  <c r="Q9" i="1" s="1"/>
  <c r="Q10" i="1" s="1"/>
  <c r="Q5" i="3"/>
  <c r="R5" i="3"/>
  <c r="S5" i="3"/>
  <c r="T5" i="3"/>
  <c r="Q8" i="6"/>
  <c r="Q13" i="6"/>
  <c r="Q23" i="6"/>
  <c r="Q18" i="6"/>
  <c r="Q28" i="6"/>
  <c r="S8" i="6"/>
  <c r="Q21" i="5"/>
  <c r="Q9" i="5"/>
  <c r="Q20" i="2"/>
  <c r="Q22" i="2" s="1"/>
  <c r="Q29" i="2" s="1"/>
  <c r="R20" i="2"/>
  <c r="R22" i="2" s="1"/>
  <c r="R29" i="2" s="1"/>
  <c r="Q13" i="2"/>
  <c r="R13" i="2"/>
  <c r="U5" i="1"/>
  <c r="U9" i="1" s="1"/>
  <c r="U12" i="1" s="1"/>
  <c r="R8" i="3" l="1"/>
  <c r="R10" i="1"/>
  <c r="R9" i="3" s="1"/>
  <c r="S8" i="3"/>
  <c r="S10" i="1"/>
  <c r="S9" i="3" s="1"/>
  <c r="U8" i="3"/>
  <c r="U10" i="1"/>
  <c r="T8" i="3"/>
  <c r="T10" i="1"/>
  <c r="T9" i="3" s="1"/>
  <c r="Q8" i="3"/>
  <c r="Q9" i="3"/>
  <c r="U17" i="1"/>
  <c r="U5" i="3"/>
  <c r="R8" i="6"/>
  <c r="R13" i="6"/>
  <c r="R23" i="6"/>
  <c r="R18" i="6"/>
  <c r="R28" i="6"/>
  <c r="U9" i="3" l="1"/>
  <c r="U13" i="1"/>
  <c r="Q17" i="1"/>
  <c r="S28" i="6"/>
  <c r="U18" i="6"/>
  <c r="T18" i="6"/>
  <c r="S18" i="6"/>
  <c r="U23" i="6"/>
  <c r="T23" i="6"/>
  <c r="S23" i="6"/>
  <c r="U13" i="6"/>
  <c r="T13" i="6"/>
  <c r="S13" i="6"/>
  <c r="U8" i="6"/>
  <c r="T8" i="6"/>
  <c r="Q7" i="4"/>
  <c r="R17" i="1"/>
  <c r="U27" i="5"/>
  <c r="T27" i="5"/>
  <c r="T21" i="5"/>
  <c r="S21" i="5"/>
  <c r="R21" i="5"/>
  <c r="U15" i="5"/>
  <c r="S15" i="5"/>
  <c r="R15" i="5"/>
  <c r="U9" i="5"/>
  <c r="T9" i="5"/>
  <c r="T7" i="4"/>
  <c r="T10" i="4" s="1"/>
  <c r="T13" i="4" s="1"/>
  <c r="S7" i="4"/>
  <c r="S12" i="3" s="1"/>
  <c r="R7" i="4"/>
  <c r="R12" i="3" s="1"/>
  <c r="U7" i="4"/>
  <c r="S20" i="2"/>
  <c r="S22" i="2" s="1"/>
  <c r="S29" i="2" s="1"/>
  <c r="T20" i="2"/>
  <c r="T22" i="2" s="1"/>
  <c r="T29" i="2" s="1"/>
  <c r="S13" i="2"/>
  <c r="T13" i="2"/>
  <c r="U20" i="2"/>
  <c r="U22" i="2" s="1"/>
  <c r="U29" i="2" s="1"/>
  <c r="U13" i="2"/>
  <c r="U10" i="4" l="1"/>
  <c r="U13" i="4" s="1"/>
  <c r="U12" i="3"/>
  <c r="Q10" i="4"/>
  <c r="Q13" i="4" s="1"/>
  <c r="Q12" i="3"/>
  <c r="R10" i="4"/>
  <c r="R13" i="4" s="1"/>
  <c r="T12" i="3"/>
  <c r="S10" i="4"/>
  <c r="S13" i="4" s="1"/>
  <c r="T17" i="1"/>
  <c r="S17" i="1" l="1"/>
  <c r="Q20" i="1" l="1"/>
  <c r="Q22" i="1" s="1"/>
  <c r="Q24" i="1" s="1"/>
  <c r="Q10" i="3"/>
  <c r="R20" i="1"/>
  <c r="R22" i="1" s="1"/>
  <c r="R10" i="3"/>
  <c r="U20" i="1"/>
  <c r="U22" i="1" s="1"/>
  <c r="U24" i="1" s="1"/>
  <c r="U10" i="3" l="1"/>
  <c r="T20" i="1"/>
  <c r="T22" i="1" s="1"/>
  <c r="T10" i="3"/>
  <c r="S20" i="1" l="1"/>
  <c r="S22" i="1" s="1"/>
  <c r="S10" i="3"/>
  <c r="T24" i="1"/>
  <c r="S24" i="1" l="1"/>
</calcChain>
</file>

<file path=xl/sharedStrings.xml><?xml version="1.0" encoding="utf-8"?>
<sst xmlns="http://schemas.openxmlformats.org/spreadsheetml/2006/main" count="257" uniqueCount="102">
  <si>
    <t>Consolidated income statement in summary</t>
  </si>
  <si>
    <t>SEK, millions</t>
  </si>
  <si>
    <t>Q1 2025</t>
  </si>
  <si>
    <t>Q4 2024</t>
  </si>
  <si>
    <t>Q3 2024</t>
  </si>
  <si>
    <t>Q2 2024</t>
  </si>
  <si>
    <t>Q1 2024</t>
  </si>
  <si>
    <t>Q4 2023</t>
  </si>
  <si>
    <t>Q3 2023</t>
  </si>
  <si>
    <t>Q2 2023</t>
  </si>
  <si>
    <t>Q1 2023</t>
  </si>
  <si>
    <t>Q4 2022</t>
  </si>
  <si>
    <t>Q3 2022</t>
  </si>
  <si>
    <t>Q2 2022</t>
  </si>
  <si>
    <t>Q1 2022</t>
  </si>
  <si>
    <t>Q4 2021</t>
  </si>
  <si>
    <t>Q3 2021</t>
  </si>
  <si>
    <t>Q2 2021</t>
  </si>
  <si>
    <t>Q1 2021</t>
  </si>
  <si>
    <t>Net sales</t>
  </si>
  <si>
    <t>Other operating income</t>
  </si>
  <si>
    <t>-</t>
  </si>
  <si>
    <t>Operating costs</t>
  </si>
  <si>
    <t>EBITA</t>
  </si>
  <si>
    <t>EBITA margin</t>
  </si>
  <si>
    <t>Adjusted EBITA</t>
  </si>
  <si>
    <t>Adjusted EBITA margin</t>
  </si>
  <si>
    <t>EBIT</t>
  </si>
  <si>
    <t>Financial incomes</t>
  </si>
  <si>
    <t>Financial costs</t>
  </si>
  <si>
    <t>RESULT AFTER FINANCIAL ITEMS</t>
  </si>
  <si>
    <t>Taxes</t>
  </si>
  <si>
    <t>RESULT FOR THE PERIOD</t>
  </si>
  <si>
    <t>Result for the period attributable to shareholders in Parent Company</t>
  </si>
  <si>
    <t>Result for the period attributable to non-controlling interests’ holdings</t>
  </si>
  <si>
    <t>Consolidated balance sheet in summary</t>
  </si>
  <si>
    <t>Assets</t>
  </si>
  <si>
    <t>Deferred tax assets</t>
  </si>
  <si>
    <t>TOTAL ASSETS</t>
  </si>
  <si>
    <t>Equity and liabilities</t>
  </si>
  <si>
    <t>Share capital</t>
  </si>
  <si>
    <t>EQUITY ATTRIBUTABLE TO SHAREHOLDERS OF THE PARENT COMPANY</t>
  </si>
  <si>
    <t>Non-controlling interests</t>
  </si>
  <si>
    <t>TOTAL EQUITY</t>
  </si>
  <si>
    <t>TOTAL EQUITY AND LIABILITIES</t>
  </si>
  <si>
    <t>Consolidated cash flow analysis in summary</t>
  </si>
  <si>
    <t>Cash flow current operations before changes in working capital</t>
  </si>
  <si>
    <t>CASH FLOW FROM OPERATING ACTIVITIES</t>
  </si>
  <si>
    <t>Cash flow from investing activities</t>
  </si>
  <si>
    <t>Cash flow from financing activities</t>
  </si>
  <si>
    <t>CASH FLOW FOR THE PERIOD</t>
  </si>
  <si>
    <t>CLOSING BALANCE AT END OF PERIOD</t>
  </si>
  <si>
    <t>Financial overview by business area</t>
  </si>
  <si>
    <t>SOLUTIONS</t>
  </si>
  <si>
    <t>Numbers of employees at quarter end</t>
  </si>
  <si>
    <t>EXPERIENCE</t>
  </si>
  <si>
    <t>CONNECTIVITY</t>
  </si>
  <si>
    <t>INSIGHT</t>
  </si>
  <si>
    <t>Financial overview by country</t>
  </si>
  <si>
    <t>SWEDEN</t>
  </si>
  <si>
    <t>NORWAY</t>
  </si>
  <si>
    <t>DENMARK</t>
  </si>
  <si>
    <t>FINLAND</t>
  </si>
  <si>
    <t>POLAND</t>
  </si>
  <si>
    <t>Performance measures</t>
  </si>
  <si>
    <t>Net sales, MSEK</t>
  </si>
  <si>
    <t>Adj EBITA, MSEK</t>
  </si>
  <si>
    <t>Adj EBITA margin, %</t>
  </si>
  <si>
    <t>EBITA, MSEK</t>
  </si>
  <si>
    <t>EBITA margin, %</t>
  </si>
  <si>
    <t>EBIT, MSEK</t>
  </si>
  <si>
    <t>Earnings per share, before and after dilution, SEK</t>
  </si>
  <si>
    <t>Cash flow from operating activities, MSEK</t>
  </si>
  <si>
    <t>Average number of employees</t>
  </si>
  <si>
    <t>Normal working hours</t>
  </si>
  <si>
    <t>Equity ratio, %</t>
  </si>
  <si>
    <t>Number of employees at quarter end</t>
  </si>
  <si>
    <t>Net debt ratio, multiples</t>
  </si>
  <si>
    <t>Q2 2025</t>
  </si>
  <si>
    <t>Assets held for sale</t>
  </si>
  <si>
    <t>Liabilities related to assets held for sale</t>
  </si>
  <si>
    <t>Q3 2025</t>
  </si>
  <si>
    <t>Intangible assets</t>
  </si>
  <si>
    <t>Property plant and equipment</t>
  </si>
  <si>
    <t>Financial non-current assets</t>
  </si>
  <si>
    <t>Current receivebles</t>
  </si>
  <si>
    <t>Cash and cash equivalents</t>
  </si>
  <si>
    <t>Other capital contributions and reserves</t>
  </si>
  <si>
    <t>Profit brought forward, incl total result</t>
  </si>
  <si>
    <t>Non-current provisions</t>
  </si>
  <si>
    <t>Interest-bearing non-current liabilities</t>
  </si>
  <si>
    <t>Other current liabilities</t>
  </si>
  <si>
    <t>Depreciation of property plant and equipment</t>
  </si>
  <si>
    <t>Translation differences in cash and cash equivalents</t>
  </si>
  <si>
    <t>Opening balance at beginning of period</t>
  </si>
  <si>
    <t>Change in working capital</t>
  </si>
  <si>
    <t>Q4 2025</t>
  </si>
  <si>
    <t>Amortization of intangible assets</t>
  </si>
  <si>
    <t>Impairment of goodwill and other intangible asset</t>
  </si>
  <si>
    <t>Other non-current liabilities</t>
  </si>
  <si>
    <r>
      <t xml:space="preserve">Interest-bearing current liabilities </t>
    </r>
    <r>
      <rPr>
        <vertAlign val="superscript"/>
        <sz val="10"/>
        <rFont val="Arial for Knowit"/>
      </rPr>
      <t>1)</t>
    </r>
  </si>
  <si>
    <t>1) Reclassification between Interest-bearing non-current liabilities and Other non-current liabilities in Q3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</si>
</sst>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%"/>
    <numFmt numFmtId="166" formatCode="0.0"/>
    <numFmt numFmtId="167" formatCode="0.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for Knowit"/>
      <family val="2"/>
    </font>
    <font>
      <sz val="10"/>
      <color theme="1"/>
      <name val="Arial for Knowit"/>
      <family val="2"/>
    </font>
    <font>
      <sz val="10"/>
      <name val="Arial for Knowit"/>
      <family val="2"/>
    </font>
    <font>
      <i/>
      <sz val="10"/>
      <name val="Arial for Knowit"/>
      <family val="2"/>
    </font>
    <font>
      <b/>
      <sz val="12"/>
      <name val="Arial for Knowit"/>
      <family val="2"/>
    </font>
    <font>
      <sz val="10"/>
      <color theme="1"/>
      <name val="Calibri"/>
      <family val="2"/>
      <scheme val="minor"/>
    </font>
    <font>
      <b/>
      <sz val="10"/>
      <name val="Arial MT Std Extra Bold"/>
      <family val="2"/>
    </font>
    <font>
      <i/>
      <sz val="10"/>
      <color theme="1"/>
      <name val="Arial for Knowit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8.5"/>
      <color rgb="FFFF0000"/>
      <name val="Calibri"/>
      <family val="2"/>
      <scheme val="minor"/>
    </font>
    <font>
      <sz val="10"/>
      <color rgb="FFFF0000"/>
      <name val="Arial for Knowit"/>
      <family val="2"/>
    </font>
    <font>
      <sz val="8"/>
      <name val="Calibri"/>
      <family val="2"/>
      <scheme val="minor"/>
    </font>
    <font>
      <b/>
      <sz val="10"/>
      <color rgb="FFFF0000"/>
      <name val="Arial for Knowit"/>
      <family val="2"/>
    </font>
    <font>
      <sz val="10"/>
      <color rgb="FF000000"/>
      <name val="Arial for Knowit"/>
      <family val="2"/>
    </font>
    <font>
      <b/>
      <sz val="10"/>
      <color rgb="FF000000"/>
      <name val="Arial for Knowit"/>
      <family val="2"/>
    </font>
    <font>
      <sz val="11"/>
      <color rgb="FFFF0000"/>
      <name val="Calibri"/>
      <family val="2"/>
    </font>
    <font>
      <i/>
      <sz val="9"/>
      <name val="Arial for Knowit"/>
      <family val="2"/>
    </font>
    <font>
      <b/>
      <sz val="9"/>
      <color rgb="FFFF0000"/>
      <name val="Arial for Knowit"/>
      <family val="2"/>
    </font>
    <font>
      <sz val="9"/>
      <color theme="1"/>
      <name val="Arial for Knowit"/>
      <family val="2"/>
    </font>
    <font>
      <sz val="9"/>
      <color rgb="FFFF0000"/>
      <name val="Arial for Knowit"/>
      <family val="2"/>
    </font>
    <font>
      <b/>
      <i/>
      <sz val="9"/>
      <name val="Arial for Knowit"/>
      <family val="2"/>
    </font>
    <font>
      <b/>
      <sz val="9"/>
      <color theme="1"/>
      <name val="Arial for Knowit"/>
      <family val="2"/>
    </font>
    <font>
      <sz val="11"/>
      <color rgb="FF000000"/>
      <name val="Calibri"/>
      <family val="2"/>
      <scheme val="minor"/>
    </font>
    <font>
      <sz val="10"/>
      <name val="Arial for Knowit"/>
      <family val="2"/>
    </font>
    <font>
      <sz val="8.5"/>
      <name val="Calibri"/>
      <family val="2"/>
      <scheme val="minor"/>
    </font>
    <font>
      <vertAlign val="superscript"/>
      <sz val="10"/>
      <name val="Arial for Knowit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6" fillId="0" borderId="0" xfId="0" applyFont="1"/>
    <xf numFmtId="0" fontId="4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 vertical="center" wrapText="1"/>
    </xf>
    <xf numFmtId="164" fontId="4" fillId="0" borderId="0" xfId="0" applyNumberFormat="1" applyFont="1" applyAlignment="1">
      <alignment horizontal="right" vertical="top"/>
    </xf>
    <xf numFmtId="164" fontId="2" fillId="0" borderId="0" xfId="0" applyNumberFormat="1" applyFont="1" applyAlignment="1">
      <alignment horizontal="right" vertical="top"/>
    </xf>
    <xf numFmtId="164" fontId="4" fillId="0" borderId="0" xfId="0" applyNumberFormat="1" applyFont="1" applyAlignment="1">
      <alignment horizontal="right" vertical="center"/>
    </xf>
    <xf numFmtId="0" fontId="4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64" fontId="5" fillId="0" borderId="0" xfId="0" applyNumberFormat="1" applyFont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 wrapText="1"/>
    </xf>
    <xf numFmtId="0" fontId="7" fillId="0" borderId="1" xfId="0" applyFont="1" applyBorder="1"/>
    <xf numFmtId="0" fontId="8" fillId="0" borderId="1" xfId="0" applyFont="1" applyBorder="1"/>
    <xf numFmtId="3" fontId="3" fillId="0" borderId="0" xfId="0" applyNumberFormat="1" applyFont="1"/>
    <xf numFmtId="164" fontId="3" fillId="0" borderId="0" xfId="0" applyNumberFormat="1" applyFont="1"/>
    <xf numFmtId="165" fontId="3" fillId="0" borderId="0" xfId="1" applyNumberFormat="1" applyFont="1"/>
    <xf numFmtId="164" fontId="2" fillId="0" borderId="0" xfId="0" applyNumberFormat="1" applyFont="1" applyAlignment="1">
      <alignment vertical="top"/>
    </xf>
    <xf numFmtId="164" fontId="4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164" fontId="12" fillId="0" borderId="0" xfId="0" applyNumberFormat="1" applyFont="1"/>
    <xf numFmtId="0" fontId="3" fillId="0" borderId="1" xfId="0" applyFont="1" applyBorder="1"/>
    <xf numFmtId="166" fontId="3" fillId="0" borderId="0" xfId="0" applyNumberFormat="1" applyFont="1"/>
    <xf numFmtId="0" fontId="7" fillId="0" borderId="0" xfId="0" applyFont="1" applyAlignment="1">
      <alignment horizontal="right"/>
    </xf>
    <xf numFmtId="0" fontId="13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166" fontId="0" fillId="0" borderId="0" xfId="0" applyNumberFormat="1"/>
    <xf numFmtId="0" fontId="13" fillId="0" borderId="0" xfId="0" applyFont="1"/>
    <xf numFmtId="164" fontId="15" fillId="0" borderId="0" xfId="0" applyNumberFormat="1" applyFont="1" applyAlignment="1">
      <alignment horizontal="right" vertical="top"/>
    </xf>
    <xf numFmtId="165" fontId="3" fillId="0" borderId="0" xfId="1" applyNumberFormat="1" applyFont="1" applyFill="1"/>
    <xf numFmtId="0" fontId="3" fillId="0" borderId="0" xfId="0" applyFont="1" applyAlignment="1">
      <alignment horizontal="center"/>
    </xf>
    <xf numFmtId="0" fontId="16" fillId="0" borderId="0" xfId="0" applyFont="1"/>
    <xf numFmtId="166" fontId="4" fillId="0" borderId="0" xfId="0" applyNumberFormat="1" applyFont="1"/>
    <xf numFmtId="9" fontId="7" fillId="0" borderId="1" xfId="1" applyFont="1" applyBorder="1"/>
    <xf numFmtId="0" fontId="10" fillId="0" borderId="0" xfId="0" applyFont="1"/>
    <xf numFmtId="0" fontId="18" fillId="0" borderId="0" xfId="0" applyFont="1"/>
    <xf numFmtId="0" fontId="4" fillId="0" borderId="0" xfId="0" applyFont="1" applyAlignment="1">
      <alignment horizontal="right" vertical="center" wrapText="1"/>
    </xf>
    <xf numFmtId="0" fontId="17" fillId="0" borderId="0" xfId="0" applyFont="1"/>
    <xf numFmtId="164" fontId="3" fillId="0" borderId="0" xfId="0" applyNumberFormat="1" applyFont="1" applyAlignment="1">
      <alignment horizontal="right"/>
    </xf>
    <xf numFmtId="167" fontId="0" fillId="0" borderId="0" xfId="0" applyNumberFormat="1"/>
    <xf numFmtId="165" fontId="4" fillId="0" borderId="0" xfId="1" applyNumberFormat="1" applyFont="1"/>
    <xf numFmtId="9" fontId="11" fillId="0" borderId="1" xfId="1" applyFont="1" applyBorder="1"/>
    <xf numFmtId="0" fontId="11" fillId="0" borderId="0" xfId="0" applyFont="1"/>
    <xf numFmtId="0" fontId="19" fillId="0" borderId="0" xfId="0" applyFont="1" applyAlignment="1">
      <alignment vertical="top"/>
    </xf>
    <xf numFmtId="164" fontId="20" fillId="0" borderId="0" xfId="0" applyNumberFormat="1" applyFont="1" applyAlignment="1">
      <alignment horizontal="right" vertical="top"/>
    </xf>
    <xf numFmtId="0" fontId="21" fillId="0" borderId="0" xfId="0" applyFont="1"/>
    <xf numFmtId="0" fontId="22" fillId="0" borderId="0" xfId="0" applyFont="1"/>
    <xf numFmtId="165" fontId="19" fillId="0" borderId="0" xfId="1" applyNumberFormat="1" applyFont="1" applyAlignment="1">
      <alignment horizontal="right" vertical="top"/>
    </xf>
    <xf numFmtId="0" fontId="23" fillId="0" borderId="0" xfId="0" applyFont="1" applyAlignment="1">
      <alignment vertical="top"/>
    </xf>
    <xf numFmtId="164" fontId="23" fillId="0" borderId="0" xfId="0" applyNumberFormat="1" applyFont="1" applyAlignment="1">
      <alignment horizontal="right" vertical="top"/>
    </xf>
    <xf numFmtId="0" fontId="24" fillId="0" borderId="0" xfId="0" applyFont="1"/>
    <xf numFmtId="0" fontId="20" fillId="0" borderId="0" xfId="0" applyFont="1"/>
    <xf numFmtId="4" fontId="3" fillId="0" borderId="0" xfId="0" applyNumberFormat="1" applyFont="1"/>
    <xf numFmtId="14" fontId="2" fillId="0" borderId="0" xfId="0" applyNumberFormat="1" applyFont="1" applyAlignment="1">
      <alignment vertical="top"/>
    </xf>
    <xf numFmtId="165" fontId="16" fillId="0" borderId="0" xfId="1" applyNumberFormat="1" applyFont="1" applyFill="1"/>
    <xf numFmtId="164" fontId="16" fillId="0" borderId="0" xfId="0" applyNumberFormat="1" applyFont="1"/>
    <xf numFmtId="166" fontId="16" fillId="0" borderId="0" xfId="0" applyNumberFormat="1" applyFont="1"/>
    <xf numFmtId="0" fontId="17" fillId="0" borderId="0" xfId="0" applyFont="1" applyAlignment="1">
      <alignment horizontal="right" vertical="center" wrapText="1"/>
    </xf>
    <xf numFmtId="14" fontId="17" fillId="0" borderId="0" xfId="0" applyNumberFormat="1" applyFont="1" applyAlignment="1">
      <alignment vertical="top"/>
    </xf>
    <xf numFmtId="4" fontId="16" fillId="0" borderId="0" xfId="0" applyNumberFormat="1" applyFont="1"/>
    <xf numFmtId="3" fontId="16" fillId="0" borderId="0" xfId="0" applyNumberFormat="1" applyFont="1"/>
    <xf numFmtId="0" fontId="25" fillId="0" borderId="0" xfId="0" applyFont="1"/>
    <xf numFmtId="9" fontId="7" fillId="0" borderId="1" xfId="1" applyFont="1" applyFill="1" applyBorder="1"/>
    <xf numFmtId="165" fontId="4" fillId="0" borderId="0" xfId="1" applyNumberFormat="1" applyFont="1" applyFill="1"/>
    <xf numFmtId="3" fontId="4" fillId="0" borderId="0" xfId="0" applyNumberFormat="1" applyFont="1"/>
    <xf numFmtId="0" fontId="4" fillId="0" borderId="1" xfId="0" applyFont="1" applyBorder="1"/>
    <xf numFmtId="0" fontId="10" fillId="0" borderId="0" xfId="0" quotePrefix="1" applyFont="1"/>
    <xf numFmtId="165" fontId="19" fillId="0" borderId="0" xfId="1" applyNumberFormat="1" applyFont="1" applyFill="1" applyAlignment="1">
      <alignment horizontal="right" vertical="top"/>
    </xf>
    <xf numFmtId="164" fontId="19" fillId="0" borderId="0" xfId="0" applyNumberFormat="1" applyFont="1" applyAlignment="1">
      <alignment horizontal="right" vertical="top"/>
    </xf>
    <xf numFmtId="165" fontId="3" fillId="0" borderId="0" xfId="1" applyNumberFormat="1" applyFont="1" applyFill="1" applyAlignment="1">
      <alignment horizontal="right"/>
    </xf>
    <xf numFmtId="165" fontId="3" fillId="0" borderId="0" xfId="1" applyNumberFormat="1" applyFont="1" applyFill="1" applyAlignment="1">
      <alignment wrapText="1"/>
    </xf>
    <xf numFmtId="165" fontId="4" fillId="0" borderId="0" xfId="1" applyNumberFormat="1" applyFont="1" applyAlignment="1">
      <alignment horizontal="right" vertical="top"/>
    </xf>
    <xf numFmtId="164" fontId="26" fillId="0" borderId="0" xfId="0" applyNumberFormat="1" applyFont="1" applyAlignment="1">
      <alignment vertical="top"/>
    </xf>
    <xf numFmtId="164" fontId="4" fillId="0" borderId="0" xfId="0" applyNumberFormat="1" applyFont="1" applyAlignment="1">
      <alignment vertical="top"/>
    </xf>
    <xf numFmtId="0" fontId="13" fillId="0" borderId="0" xfId="0" applyFont="1" applyAlignment="1">
      <alignment vertical="top"/>
    </xf>
    <xf numFmtId="164" fontId="13" fillId="0" borderId="0" xfId="0" applyNumberFormat="1" applyFont="1" applyAlignment="1">
      <alignment horizontal="right" vertical="top"/>
    </xf>
    <xf numFmtId="164" fontId="27" fillId="0" borderId="0" xfId="0" applyNumberFormat="1" applyFont="1"/>
    <xf numFmtId="0" fontId="13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110217</xdr:rowOff>
    </xdr:to>
    <xdr:sp macro="" textlink="">
      <xdr:nvSpPr>
        <xdr:cNvPr id="4097" name="AutoShape 1" descr="\text{Working Capital}= \text{Current Assets} - \text{Current Liabilities}">
          <a:extLst>
            <a:ext uri="{FF2B5EF4-FFF2-40B4-BE49-F238E27FC236}">
              <a16:creationId xmlns:a16="http://schemas.microsoft.com/office/drawing/2014/main" id="{68E21D64-001F-4C53-8495-EB9BC5DAA0ED}"/>
            </a:ext>
          </a:extLst>
        </xdr:cNvPr>
        <xdr:cNvSpPr>
          <a:spLocks noChangeAspect="1" noChangeArrowheads="1"/>
        </xdr:cNvSpPr>
      </xdr:nvSpPr>
      <xdr:spPr bwMode="auto">
        <a:xfrm>
          <a:off x="0" y="42073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867A6-3F2B-4982-A9A2-940D999C625D}">
  <dimension ref="A1:W30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F18" sqref="F18"/>
    </sheetView>
  </sheetViews>
  <sheetFormatPr defaultColWidth="9.140625" defaultRowHeight="12.75" x14ac:dyDescent="0.2"/>
  <cols>
    <col min="1" max="1" width="58.42578125" style="2" customWidth="1"/>
    <col min="2" max="21" width="12" style="10" customWidth="1"/>
    <col min="22" max="22" width="2.5703125" style="10" customWidth="1"/>
    <col min="23" max="16384" width="9.140625" style="2"/>
  </cols>
  <sheetData>
    <row r="1" spans="1:23" ht="32.1" customHeight="1" x14ac:dyDescent="0.25">
      <c r="A1" s="5" t="s">
        <v>0</v>
      </c>
    </row>
    <row r="2" spans="1:23" ht="16.350000000000001" customHeight="1" x14ac:dyDescent="0.2"/>
    <row r="3" spans="1:23" x14ac:dyDescent="0.2">
      <c r="A3" s="6" t="s">
        <v>1</v>
      </c>
      <c r="B3" s="11" t="s">
        <v>96</v>
      </c>
      <c r="C3" s="11" t="s">
        <v>81</v>
      </c>
      <c r="D3" s="11" t="s">
        <v>78</v>
      </c>
      <c r="E3" s="11" t="s">
        <v>2</v>
      </c>
      <c r="F3" s="11" t="s">
        <v>3</v>
      </c>
      <c r="G3" s="11" t="s">
        <v>4</v>
      </c>
      <c r="H3" s="11" t="s">
        <v>5</v>
      </c>
      <c r="I3" s="11" t="s">
        <v>6</v>
      </c>
      <c r="J3" s="11" t="s">
        <v>7</v>
      </c>
      <c r="K3" s="68" t="s">
        <v>8</v>
      </c>
      <c r="L3" s="11" t="s">
        <v>9</v>
      </c>
      <c r="M3" s="11" t="s">
        <v>10</v>
      </c>
      <c r="N3" s="11" t="s">
        <v>11</v>
      </c>
      <c r="O3" s="11" t="s">
        <v>12</v>
      </c>
      <c r="P3" s="11" t="s">
        <v>13</v>
      </c>
      <c r="Q3" s="11" t="s">
        <v>14</v>
      </c>
      <c r="R3" s="11" t="s">
        <v>15</v>
      </c>
      <c r="S3" s="11" t="s">
        <v>16</v>
      </c>
      <c r="T3" s="11" t="s">
        <v>17</v>
      </c>
      <c r="U3" s="11" t="s">
        <v>18</v>
      </c>
      <c r="V3" s="11"/>
    </row>
    <row r="4" spans="1:23" x14ac:dyDescent="0.2">
      <c r="A4" s="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47"/>
      <c r="R4" s="11"/>
      <c r="S4" s="11"/>
      <c r="T4" s="11"/>
      <c r="U4" s="11"/>
      <c r="V4" s="11"/>
    </row>
    <row r="5" spans="1:23" ht="14.85" customHeight="1" x14ac:dyDescent="0.2">
      <c r="A5" s="6" t="s">
        <v>19</v>
      </c>
      <c r="B5" s="12">
        <v>1492</v>
      </c>
      <c r="C5" s="12">
        <v>1221.9000000000001</v>
      </c>
      <c r="D5" s="12">
        <v>1490.5</v>
      </c>
      <c r="E5" s="12">
        <v>1593.6</v>
      </c>
      <c r="F5" s="12">
        <v>1641.9</v>
      </c>
      <c r="G5" s="12">
        <v>1326.2</v>
      </c>
      <c r="H5" s="12">
        <v>1681.3</v>
      </c>
      <c r="I5" s="12">
        <v>1766.3</v>
      </c>
      <c r="J5" s="12">
        <v>1824</v>
      </c>
      <c r="K5" s="12">
        <f>1544.1</f>
        <v>1544.1</v>
      </c>
      <c r="L5" s="12">
        <v>1758.8</v>
      </c>
      <c r="M5" s="12">
        <v>1970.5</v>
      </c>
      <c r="N5" s="12">
        <v>1972.9</v>
      </c>
      <c r="O5" s="12">
        <v>1520.9</v>
      </c>
      <c r="P5" s="12">
        <v>1644.7</v>
      </c>
      <c r="Q5" s="12">
        <v>1695.3</v>
      </c>
      <c r="R5" s="12">
        <v>1575.9</v>
      </c>
      <c r="S5" s="12">
        <v>1190.9000000000001</v>
      </c>
      <c r="T5" s="12">
        <v>1033.7</v>
      </c>
      <c r="U5" s="12">
        <f>1011.4</f>
        <v>1011.4</v>
      </c>
      <c r="V5" s="12"/>
    </row>
    <row r="6" spans="1:23" ht="14.85" customHeight="1" x14ac:dyDescent="0.2">
      <c r="A6" s="6" t="s">
        <v>20</v>
      </c>
      <c r="B6" s="12" t="s">
        <v>21</v>
      </c>
      <c r="C6" s="12">
        <v>16.899999999999999</v>
      </c>
      <c r="D6" s="12" t="s">
        <v>21</v>
      </c>
      <c r="E6" s="12" t="s">
        <v>21</v>
      </c>
      <c r="F6" s="12" t="s">
        <v>21</v>
      </c>
      <c r="G6" s="12" t="s">
        <v>21</v>
      </c>
      <c r="H6" s="12" t="s">
        <v>21</v>
      </c>
      <c r="I6" s="12" t="s">
        <v>21</v>
      </c>
      <c r="J6" s="12" t="s">
        <v>21</v>
      </c>
      <c r="K6" s="12">
        <v>16.399999999999999</v>
      </c>
      <c r="L6" s="12" t="s">
        <v>21</v>
      </c>
      <c r="M6" s="12" t="s">
        <v>21</v>
      </c>
      <c r="N6" s="12" t="s">
        <v>21</v>
      </c>
      <c r="O6" s="12" t="s">
        <v>21</v>
      </c>
      <c r="P6" s="12" t="s">
        <v>21</v>
      </c>
      <c r="Q6" s="12" t="s">
        <v>21</v>
      </c>
      <c r="R6" s="12" t="s">
        <v>21</v>
      </c>
      <c r="S6" s="12" t="s">
        <v>21</v>
      </c>
      <c r="T6" s="12" t="s">
        <v>21</v>
      </c>
      <c r="U6" s="12" t="s">
        <v>21</v>
      </c>
      <c r="V6" s="12"/>
    </row>
    <row r="7" spans="1:23" ht="14.85" customHeight="1" x14ac:dyDescent="0.2">
      <c r="A7" s="6" t="s">
        <v>22</v>
      </c>
      <c r="B7" s="12">
        <v>-1334.1</v>
      </c>
      <c r="C7" s="12">
        <v>-1119</v>
      </c>
      <c r="D7" s="12">
        <v>-1396.7</v>
      </c>
      <c r="E7" s="12">
        <v>-1446</v>
      </c>
      <c r="F7" s="12">
        <v>-1492.5</v>
      </c>
      <c r="G7" s="12">
        <v>-1224.8</v>
      </c>
      <c r="H7" s="12">
        <v>-1571.6</v>
      </c>
      <c r="I7" s="12">
        <v>-1586.1</v>
      </c>
      <c r="J7" s="12">
        <v>-1633</v>
      </c>
      <c r="K7" s="12">
        <f>-1425.4-K6</f>
        <v>-1441.8000000000002</v>
      </c>
      <c r="L7" s="12">
        <v>-1637.1</v>
      </c>
      <c r="M7" s="12">
        <v>-1727.5</v>
      </c>
      <c r="N7" s="12">
        <v>-1752.6</v>
      </c>
      <c r="O7" s="12">
        <v>-1393.9</v>
      </c>
      <c r="P7" s="12">
        <v>-1473.6</v>
      </c>
      <c r="Q7" s="12">
        <f>-1468.4</f>
        <v>-1468.4</v>
      </c>
      <c r="R7" s="12">
        <f>-1367.2</f>
        <v>-1367.2</v>
      </c>
      <c r="S7" s="12">
        <f>-1057.8</f>
        <v>-1057.8</v>
      </c>
      <c r="T7" s="12">
        <f>-938.7</f>
        <v>-938.7</v>
      </c>
      <c r="U7" s="12">
        <v>-886</v>
      </c>
      <c r="V7" s="12"/>
    </row>
    <row r="8" spans="1:23" ht="14.85" customHeight="1" x14ac:dyDescent="0.2">
      <c r="A8" s="6" t="s">
        <v>92</v>
      </c>
      <c r="B8" s="12">
        <v>-42.2</v>
      </c>
      <c r="C8" s="12">
        <v>-42.4</v>
      </c>
      <c r="D8" s="12">
        <v>-42.6</v>
      </c>
      <c r="E8" s="12">
        <v>-43.1</v>
      </c>
      <c r="F8" s="12">
        <v>-42.8</v>
      </c>
      <c r="G8" s="12">
        <v>-43.5</v>
      </c>
      <c r="H8" s="12">
        <v>-43.8</v>
      </c>
      <c r="I8" s="12">
        <v>-43.9</v>
      </c>
      <c r="J8" s="12">
        <v>-43.3</v>
      </c>
      <c r="K8" s="12">
        <v>-43.9</v>
      </c>
      <c r="L8" s="12">
        <v>-45.1</v>
      </c>
      <c r="M8" s="12">
        <v>-45.8</v>
      </c>
      <c r="N8" s="12">
        <v>-42.3</v>
      </c>
      <c r="O8" s="12">
        <v>-37</v>
      </c>
      <c r="P8" s="12">
        <v>-34.700000000000003</v>
      </c>
      <c r="Q8" s="12">
        <v>-34.799999999999997</v>
      </c>
      <c r="R8" s="12">
        <v>-40.5</v>
      </c>
      <c r="S8" s="12">
        <v>-38.6</v>
      </c>
      <c r="T8" s="12">
        <v>-22.4</v>
      </c>
      <c r="U8" s="12">
        <v>-22.1</v>
      </c>
      <c r="V8" s="12"/>
    </row>
    <row r="9" spans="1:23" s="38" customFormat="1" ht="14.85" customHeight="1" x14ac:dyDescent="0.2">
      <c r="A9" s="8" t="s">
        <v>23</v>
      </c>
      <c r="B9" s="13">
        <f t="shared" ref="B9" si="0">+SUM(B5:B8)</f>
        <v>115.70000000000009</v>
      </c>
      <c r="C9" s="13">
        <f t="shared" ref="C9:F9" si="1">+SUM(C5:C8)</f>
        <v>77.400000000000176</v>
      </c>
      <c r="D9" s="13">
        <f t="shared" ref="D9" si="2">+SUM(D5:D8)</f>
        <v>51.199999999999953</v>
      </c>
      <c r="E9" s="13">
        <f t="shared" ref="E9" si="3">+SUM(E5:E8)</f>
        <v>104.49999999999991</v>
      </c>
      <c r="F9" s="13">
        <f t="shared" si="1"/>
        <v>106.60000000000009</v>
      </c>
      <c r="G9" s="13">
        <f t="shared" ref="G9:M9" si="4">+SUM(G5:G8)</f>
        <v>57.900000000000091</v>
      </c>
      <c r="H9" s="13">
        <f t="shared" ref="H9" si="5">+SUM(H5:H8)</f>
        <v>65.900000000000048</v>
      </c>
      <c r="I9" s="13">
        <f t="shared" si="4"/>
        <v>136.30000000000004</v>
      </c>
      <c r="J9" s="13">
        <f t="shared" si="4"/>
        <v>147.69999999999999</v>
      </c>
      <c r="K9" s="13">
        <f t="shared" si="4"/>
        <v>74.799999999999812</v>
      </c>
      <c r="L9" s="13">
        <f t="shared" si="4"/>
        <v>76.600000000000051</v>
      </c>
      <c r="M9" s="13">
        <f t="shared" si="4"/>
        <v>197.2</v>
      </c>
      <c r="N9" s="13">
        <f t="shared" ref="N9:S9" si="6">+SUM(N5:N8)</f>
        <v>178.00000000000017</v>
      </c>
      <c r="O9" s="13">
        <f t="shared" si="6"/>
        <v>90</v>
      </c>
      <c r="P9" s="13">
        <f t="shared" si="6"/>
        <v>136.40000000000015</v>
      </c>
      <c r="Q9" s="13">
        <f t="shared" si="6"/>
        <v>192.09999999999985</v>
      </c>
      <c r="R9" s="13">
        <f t="shared" si="6"/>
        <v>168.20000000000005</v>
      </c>
      <c r="S9" s="13">
        <f t="shared" si="6"/>
        <v>94.500000000000142</v>
      </c>
      <c r="T9" s="13">
        <f t="shared" ref="T9:U9" si="7">+SUM(T5:T8)</f>
        <v>72.599999999999994</v>
      </c>
      <c r="U9" s="13">
        <f t="shared" si="7"/>
        <v>103.29999999999998</v>
      </c>
      <c r="V9" s="39"/>
      <c r="W9" s="2"/>
    </row>
    <row r="10" spans="1:23" s="57" customFormat="1" ht="14.85" customHeight="1" x14ac:dyDescent="0.2">
      <c r="A10" s="54" t="s">
        <v>24</v>
      </c>
      <c r="B10" s="78">
        <f t="shared" ref="B10" si="8">+B9/B5</f>
        <v>7.7546916890080489E-2</v>
      </c>
      <c r="C10" s="78">
        <f t="shared" ref="C10:J10" si="9">+C9/C5</f>
        <v>6.3343972501841539E-2</v>
      </c>
      <c r="D10" s="78">
        <f t="shared" ref="D10" si="10">+D9/D5</f>
        <v>3.4350888963435057E-2</v>
      </c>
      <c r="E10" s="78">
        <f t="shared" ref="E10" si="11">+E9/E5</f>
        <v>6.5574799196787104E-2</v>
      </c>
      <c r="F10" s="78">
        <f t="shared" si="9"/>
        <v>6.4924782264449782E-2</v>
      </c>
      <c r="G10" s="78">
        <f t="shared" si="9"/>
        <v>4.365857336751628E-2</v>
      </c>
      <c r="H10" s="78">
        <f t="shared" si="9"/>
        <v>3.9195860346160738E-2</v>
      </c>
      <c r="I10" s="78">
        <f t="shared" si="9"/>
        <v>7.7166959180207231E-2</v>
      </c>
      <c r="J10" s="78">
        <f t="shared" si="9"/>
        <v>8.0975877192982451E-2</v>
      </c>
      <c r="K10" s="78">
        <v>4.8000000000000001E-2</v>
      </c>
      <c r="L10" s="58">
        <f t="shared" ref="L10" si="12">+L9/L5</f>
        <v>4.3552422105981384E-2</v>
      </c>
      <c r="M10" s="58">
        <f t="shared" ref="M10:U10" si="13">+M9/M5</f>
        <v>0.10007612281146916</v>
      </c>
      <c r="N10" s="58">
        <f t="shared" si="13"/>
        <v>9.0222515079324939E-2</v>
      </c>
      <c r="O10" s="58">
        <f t="shared" si="13"/>
        <v>5.9175488197777626E-2</v>
      </c>
      <c r="P10" s="58">
        <f t="shared" si="13"/>
        <v>8.2933057700492585E-2</v>
      </c>
      <c r="Q10" s="58">
        <f t="shared" si="13"/>
        <v>0.11331327788591981</v>
      </c>
      <c r="R10" s="58">
        <f t="shared" si="13"/>
        <v>0.10673266070182121</v>
      </c>
      <c r="S10" s="58">
        <f t="shared" si="13"/>
        <v>7.9351750776723601E-2</v>
      </c>
      <c r="T10" s="58">
        <f t="shared" si="13"/>
        <v>7.0233143078262547E-2</v>
      </c>
      <c r="U10" s="58">
        <f t="shared" si="13"/>
        <v>0.10213565354953529</v>
      </c>
      <c r="V10" s="55"/>
      <c r="W10" s="56"/>
    </row>
    <row r="11" spans="1:23" s="18" customFormat="1" ht="8.1" customHeight="1" x14ac:dyDescent="0.2">
      <c r="A11" s="9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19"/>
      <c r="U11" s="19"/>
      <c r="V11" s="19"/>
    </row>
    <row r="12" spans="1:23" s="62" customFormat="1" ht="14.85" customHeight="1" x14ac:dyDescent="0.2">
      <c r="A12" s="59" t="s">
        <v>25</v>
      </c>
      <c r="B12" s="60">
        <v>116</v>
      </c>
      <c r="C12" s="60">
        <v>62.5</v>
      </c>
      <c r="D12" s="60">
        <v>54</v>
      </c>
      <c r="E12" s="60">
        <v>104.5</v>
      </c>
      <c r="F12" s="60">
        <v>106.6</v>
      </c>
      <c r="G12" s="60">
        <v>57.9</v>
      </c>
      <c r="H12" s="60">
        <v>94.2</v>
      </c>
      <c r="I12" s="79">
        <v>136.30000000000001</v>
      </c>
      <c r="J12" s="60">
        <v>147.69999999999999</v>
      </c>
      <c r="K12" s="60">
        <v>74.900000000000006</v>
      </c>
      <c r="L12" s="60">
        <v>76.8</v>
      </c>
      <c r="M12" s="60">
        <v>198.1</v>
      </c>
      <c r="N12" s="60">
        <v>179.3</v>
      </c>
      <c r="O12" s="60">
        <v>94.5</v>
      </c>
      <c r="P12" s="60">
        <v>140.5</v>
      </c>
      <c r="Q12" s="60">
        <v>194.2</v>
      </c>
      <c r="R12" s="60">
        <v>181.1</v>
      </c>
      <c r="S12" s="60">
        <v>105.4</v>
      </c>
      <c r="T12" s="60">
        <v>98.3</v>
      </c>
      <c r="U12" s="60">
        <f>+U9</f>
        <v>103.29999999999998</v>
      </c>
      <c r="V12" s="55"/>
      <c r="W12" s="61"/>
    </row>
    <row r="13" spans="1:23" s="57" customFormat="1" ht="14.85" customHeight="1" x14ac:dyDescent="0.2">
      <c r="A13" s="54" t="s">
        <v>26</v>
      </c>
      <c r="B13" s="78">
        <f>+B12/B5</f>
        <v>7.7747989276139406E-2</v>
      </c>
      <c r="C13" s="78">
        <v>5.0999999999999997E-2</v>
      </c>
      <c r="D13" s="78">
        <v>3.5999999999999997E-2</v>
      </c>
      <c r="E13" s="78">
        <v>6.6000000000000003E-2</v>
      </c>
      <c r="F13" s="78">
        <v>6.5000000000000002E-2</v>
      </c>
      <c r="G13" s="78">
        <v>4.3999999999999997E-2</v>
      </c>
      <c r="H13" s="78">
        <v>5.6000000000000001E-2</v>
      </c>
      <c r="I13" s="78">
        <v>7.7166959180207217E-2</v>
      </c>
      <c r="J13" s="78">
        <v>8.0975877192982451E-2</v>
      </c>
      <c r="K13" s="78">
        <v>4.8507221034907073E-2</v>
      </c>
      <c r="L13" s="58">
        <v>4.3999999999999997E-2</v>
      </c>
      <c r="M13" s="58">
        <v>0.10100000000000001</v>
      </c>
      <c r="N13" s="58">
        <v>9.0999999999999998E-2</v>
      </c>
      <c r="O13" s="58">
        <v>6.2E-2</v>
      </c>
      <c r="P13" s="58">
        <v>8.5000000000000006E-2</v>
      </c>
      <c r="Q13" s="58">
        <v>0.115</v>
      </c>
      <c r="R13" s="58">
        <v>0.115</v>
      </c>
      <c r="S13" s="58">
        <v>8.7999999999999995E-2</v>
      </c>
      <c r="T13" s="58">
        <v>9.5000000000000001E-2</v>
      </c>
      <c r="U13" s="58">
        <f>+U10</f>
        <v>0.10213565354953529</v>
      </c>
      <c r="V13" s="55"/>
      <c r="W13" s="56"/>
    </row>
    <row r="14" spans="1:23" s="18" customFormat="1" ht="8.1" customHeight="1" x14ac:dyDescent="0.2">
      <c r="A14" s="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19"/>
      <c r="U14" s="19"/>
      <c r="V14" s="19"/>
    </row>
    <row r="15" spans="1:23" ht="14.85" customHeight="1" x14ac:dyDescent="0.2">
      <c r="A15" s="6" t="s">
        <v>97</v>
      </c>
      <c r="B15" s="12">
        <v>-41.1</v>
      </c>
      <c r="C15" s="12">
        <v>-41.4</v>
      </c>
      <c r="D15" s="12">
        <v>-40.1</v>
      </c>
      <c r="E15" s="12">
        <v>-40.5</v>
      </c>
      <c r="F15" s="12">
        <v>-41.8</v>
      </c>
      <c r="G15" s="12">
        <v>-41.6</v>
      </c>
      <c r="H15" s="12">
        <v>-41.9</v>
      </c>
      <c r="I15" s="12">
        <v>-41.4</v>
      </c>
      <c r="J15" s="12">
        <v>-41.8</v>
      </c>
      <c r="K15" s="12">
        <f>-43.5</f>
        <v>-43.5</v>
      </c>
      <c r="L15" s="12">
        <v>-43.1</v>
      </c>
      <c r="M15" s="12">
        <v>-42.7</v>
      </c>
      <c r="N15" s="12">
        <v>-46.4</v>
      </c>
      <c r="O15" s="12">
        <v>-39.9</v>
      </c>
      <c r="P15" s="12">
        <v>-31.8</v>
      </c>
      <c r="Q15" s="12">
        <v>-31.2</v>
      </c>
      <c r="R15" s="12">
        <v>-35.9</v>
      </c>
      <c r="S15" s="12">
        <v>-25.1</v>
      </c>
      <c r="T15" s="12">
        <v>-7.1</v>
      </c>
      <c r="U15" s="12">
        <v>-7.1</v>
      </c>
      <c r="V15" s="12"/>
    </row>
    <row r="16" spans="1:23" ht="14.85" customHeight="1" x14ac:dyDescent="0.2">
      <c r="A16" s="6" t="s">
        <v>98</v>
      </c>
      <c r="B16" s="12">
        <v>-399</v>
      </c>
      <c r="C16" s="12" t="s">
        <v>21</v>
      </c>
      <c r="D16" s="12" t="s">
        <v>21</v>
      </c>
      <c r="E16" s="12" t="s">
        <v>21</v>
      </c>
      <c r="F16" s="12" t="s">
        <v>21</v>
      </c>
      <c r="G16" s="12" t="s">
        <v>21</v>
      </c>
      <c r="H16" s="12" t="s">
        <v>21</v>
      </c>
      <c r="I16" s="12" t="s">
        <v>21</v>
      </c>
      <c r="J16" s="12" t="s">
        <v>21</v>
      </c>
      <c r="K16" s="12">
        <v>-15.4</v>
      </c>
      <c r="L16" s="12" t="s">
        <v>21</v>
      </c>
      <c r="M16" s="12" t="s">
        <v>21</v>
      </c>
      <c r="N16" s="12" t="s">
        <v>21</v>
      </c>
      <c r="O16" s="12" t="s">
        <v>21</v>
      </c>
      <c r="P16" s="12" t="s">
        <v>21</v>
      </c>
      <c r="Q16" s="12" t="s">
        <v>21</v>
      </c>
      <c r="R16" s="12" t="s">
        <v>21</v>
      </c>
      <c r="S16" s="12" t="s">
        <v>21</v>
      </c>
      <c r="T16" s="12" t="s">
        <v>21</v>
      </c>
      <c r="U16" s="12" t="s">
        <v>21</v>
      </c>
      <c r="V16" s="12"/>
    </row>
    <row r="17" spans="1:22" ht="14.85" customHeight="1" x14ac:dyDescent="0.2">
      <c r="A17" s="8" t="s">
        <v>27</v>
      </c>
      <c r="B17" s="13">
        <f>+B9+B15+B16</f>
        <v>-324.39999999999992</v>
      </c>
      <c r="C17" s="13">
        <f t="shared" ref="C17:H17" si="14">+C9+C15</f>
        <v>36.000000000000178</v>
      </c>
      <c r="D17" s="13">
        <f t="shared" si="14"/>
        <v>11.099999999999952</v>
      </c>
      <c r="E17" s="13">
        <f t="shared" si="14"/>
        <v>63.999999999999915</v>
      </c>
      <c r="F17" s="13">
        <f t="shared" si="14"/>
        <v>64.800000000000097</v>
      </c>
      <c r="G17" s="13">
        <f t="shared" si="14"/>
        <v>16.30000000000009</v>
      </c>
      <c r="H17" s="13">
        <f t="shared" si="14"/>
        <v>24.00000000000005</v>
      </c>
      <c r="I17" s="13">
        <f>+I9+I15-0.1</f>
        <v>94.80000000000004</v>
      </c>
      <c r="J17" s="13">
        <f t="shared" ref="J17:O17" si="15">+J9+J15</f>
        <v>105.89999999999999</v>
      </c>
      <c r="K17" s="13">
        <f>+K9+K15+K16</f>
        <v>15.899999999999812</v>
      </c>
      <c r="L17" s="13">
        <f t="shared" si="15"/>
        <v>33.50000000000005</v>
      </c>
      <c r="M17" s="13">
        <f t="shared" si="15"/>
        <v>154.5</v>
      </c>
      <c r="N17" s="13">
        <f t="shared" si="15"/>
        <v>131.60000000000016</v>
      </c>
      <c r="O17" s="13">
        <f t="shared" si="15"/>
        <v>50.1</v>
      </c>
      <c r="P17" s="13">
        <f t="shared" ref="P17:U17" si="16">+P9+P15</f>
        <v>104.60000000000015</v>
      </c>
      <c r="Q17" s="13">
        <f t="shared" si="16"/>
        <v>160.89999999999986</v>
      </c>
      <c r="R17" s="13">
        <f t="shared" si="16"/>
        <v>132.30000000000004</v>
      </c>
      <c r="S17" s="13">
        <f t="shared" si="16"/>
        <v>69.400000000000148</v>
      </c>
      <c r="T17" s="13">
        <f t="shared" si="16"/>
        <v>65.5</v>
      </c>
      <c r="U17" s="13">
        <f t="shared" si="16"/>
        <v>96.199999999999989</v>
      </c>
      <c r="V17" s="12"/>
    </row>
    <row r="18" spans="1:22" ht="14.85" customHeight="1" x14ac:dyDescent="0.2">
      <c r="A18" s="6" t="s">
        <v>28</v>
      </c>
      <c r="B18" s="12">
        <v>6.2</v>
      </c>
      <c r="C18" s="12">
        <v>1.4</v>
      </c>
      <c r="D18" s="12">
        <v>2.2000000000000002</v>
      </c>
      <c r="E18" s="12">
        <v>2.5</v>
      </c>
      <c r="F18" s="12">
        <v>3.8</v>
      </c>
      <c r="G18" s="12">
        <v>2.8</v>
      </c>
      <c r="H18" s="12">
        <v>3</v>
      </c>
      <c r="I18" s="12">
        <v>3.6</v>
      </c>
      <c r="J18" s="12">
        <v>14.4</v>
      </c>
      <c r="K18" s="12">
        <v>34.299999999999997</v>
      </c>
      <c r="L18" s="12">
        <v>23.2</v>
      </c>
      <c r="M18" s="12">
        <v>4.2</v>
      </c>
      <c r="N18" s="12">
        <v>11.6</v>
      </c>
      <c r="O18" s="12">
        <v>16.3</v>
      </c>
      <c r="P18" s="12">
        <v>66.5</v>
      </c>
      <c r="Q18" s="12">
        <v>0.5</v>
      </c>
      <c r="R18" s="12">
        <v>16.899999999999999</v>
      </c>
      <c r="S18" s="12">
        <v>3.8</v>
      </c>
      <c r="T18" s="12">
        <v>-0.2</v>
      </c>
      <c r="U18" s="12">
        <v>4.5</v>
      </c>
      <c r="V18" s="12"/>
    </row>
    <row r="19" spans="1:22" ht="14.85" customHeight="1" x14ac:dyDescent="0.2">
      <c r="A19" s="6" t="s">
        <v>29</v>
      </c>
      <c r="B19" s="12">
        <v>-11.2</v>
      </c>
      <c r="C19" s="12">
        <v>-10.4</v>
      </c>
      <c r="D19" s="12">
        <v>-9.6</v>
      </c>
      <c r="E19" s="12">
        <v>-14.9</v>
      </c>
      <c r="F19" s="12">
        <v>-14.5</v>
      </c>
      <c r="G19" s="12">
        <v>-14</v>
      </c>
      <c r="H19" s="12">
        <v>-15.1</v>
      </c>
      <c r="I19" s="12">
        <v>-16.3</v>
      </c>
      <c r="J19" s="12">
        <v>-21.3</v>
      </c>
      <c r="K19" s="12">
        <v>-11.5</v>
      </c>
      <c r="L19" s="12">
        <v>-23.6</v>
      </c>
      <c r="M19" s="12">
        <v>-25.4</v>
      </c>
      <c r="N19" s="12">
        <v>-6.5</v>
      </c>
      <c r="O19" s="12">
        <v>-29.2</v>
      </c>
      <c r="P19" s="12">
        <v>-17.899999999999999</v>
      </c>
      <c r="Q19" s="12">
        <v>-4.8</v>
      </c>
      <c r="R19" s="12">
        <v>-0.5</v>
      </c>
      <c r="S19" s="12">
        <v>-7.1</v>
      </c>
      <c r="T19" s="12">
        <v>-4.9000000000000004</v>
      </c>
      <c r="U19" s="12">
        <v>-5.7</v>
      </c>
      <c r="V19" s="12"/>
    </row>
    <row r="20" spans="1:22" ht="14.85" customHeight="1" x14ac:dyDescent="0.2">
      <c r="A20" s="8" t="s">
        <v>30</v>
      </c>
      <c r="B20" s="13">
        <f>+B17+B18+B19-0.1</f>
        <v>-329.49999999999994</v>
      </c>
      <c r="C20" s="13">
        <f t="shared" ref="C20:H20" si="17">+C17+C18+C19</f>
        <v>27.000000000000178</v>
      </c>
      <c r="D20" s="13">
        <f t="shared" si="17"/>
        <v>3.6999999999999513</v>
      </c>
      <c r="E20" s="13">
        <f t="shared" si="17"/>
        <v>51.599999999999916</v>
      </c>
      <c r="F20" s="13">
        <f t="shared" si="17"/>
        <v>54.100000000000094</v>
      </c>
      <c r="G20" s="13">
        <f t="shared" si="17"/>
        <v>5.1000000000000902</v>
      </c>
      <c r="H20" s="13">
        <f t="shared" si="17"/>
        <v>11.90000000000005</v>
      </c>
      <c r="I20" s="13">
        <f>+I17+I18+I19+0.1</f>
        <v>82.200000000000031</v>
      </c>
      <c r="J20" s="13">
        <f t="shared" ref="J20" si="18">+J17+J18+J19</f>
        <v>99</v>
      </c>
      <c r="K20" s="13">
        <f t="shared" ref="K20:L20" si="19">+K17+K18+K19</f>
        <v>38.699999999999811</v>
      </c>
      <c r="L20" s="13">
        <f t="shared" si="19"/>
        <v>33.100000000000044</v>
      </c>
      <c r="M20" s="13">
        <f t="shared" ref="M20:N20" si="20">+M17+M18+M19</f>
        <v>133.29999999999998</v>
      </c>
      <c r="N20" s="13">
        <f t="shared" si="20"/>
        <v>136.70000000000016</v>
      </c>
      <c r="O20" s="13">
        <f t="shared" ref="O20:T20" si="21">+O17+O18+O19</f>
        <v>37.200000000000003</v>
      </c>
      <c r="P20" s="13">
        <f t="shared" si="21"/>
        <v>153.20000000000013</v>
      </c>
      <c r="Q20" s="13">
        <f t="shared" si="21"/>
        <v>156.59999999999985</v>
      </c>
      <c r="R20" s="13">
        <f t="shared" si="21"/>
        <v>148.70000000000005</v>
      </c>
      <c r="S20" s="13">
        <f t="shared" si="21"/>
        <v>66.100000000000151</v>
      </c>
      <c r="T20" s="13">
        <f t="shared" si="21"/>
        <v>60.4</v>
      </c>
      <c r="U20" s="13">
        <f t="shared" ref="U20" si="22">+U17+U18+U19</f>
        <v>94.999999999999986</v>
      </c>
      <c r="V20" s="13"/>
    </row>
    <row r="21" spans="1:22" ht="14.85" customHeight="1" x14ac:dyDescent="0.2">
      <c r="A21" s="6" t="s">
        <v>31</v>
      </c>
      <c r="B21" s="12">
        <v>-13.2</v>
      </c>
      <c r="C21" s="12">
        <v>-6.8</v>
      </c>
      <c r="D21" s="12">
        <v>-3</v>
      </c>
      <c r="E21" s="12">
        <v>-12.1</v>
      </c>
      <c r="F21" s="12">
        <v>-16.3</v>
      </c>
      <c r="G21" s="12">
        <v>-1.7</v>
      </c>
      <c r="H21" s="12">
        <v>-6.4</v>
      </c>
      <c r="I21" s="12">
        <v>-18.2</v>
      </c>
      <c r="J21" s="12">
        <v>-7.5</v>
      </c>
      <c r="K21" s="12">
        <v>-12.4</v>
      </c>
      <c r="L21" s="12">
        <v>-13.2</v>
      </c>
      <c r="M21" s="12">
        <v>-29.2</v>
      </c>
      <c r="N21" s="12">
        <v>-17.7</v>
      </c>
      <c r="O21" s="12">
        <v>-16</v>
      </c>
      <c r="P21" s="12">
        <v>-22.9</v>
      </c>
      <c r="Q21" s="12">
        <v>-34.9</v>
      </c>
      <c r="R21" s="12">
        <v>-22.9</v>
      </c>
      <c r="S21" s="12">
        <v>-12.6</v>
      </c>
      <c r="T21" s="12">
        <v>-17.2</v>
      </c>
      <c r="U21" s="12">
        <v>-22.6</v>
      </c>
      <c r="V21" s="12"/>
    </row>
    <row r="22" spans="1:22" ht="14.85" customHeight="1" x14ac:dyDescent="0.2">
      <c r="A22" s="8" t="s">
        <v>32</v>
      </c>
      <c r="B22" s="13">
        <f t="shared" ref="B22" si="23">+B20+B21</f>
        <v>-342.69999999999993</v>
      </c>
      <c r="C22" s="13">
        <f t="shared" ref="C22:F22" si="24">+C20+C21</f>
        <v>20.200000000000177</v>
      </c>
      <c r="D22" s="13">
        <f t="shared" ref="D22" si="25">+D20+D21</f>
        <v>0.69999999999995133</v>
      </c>
      <c r="E22" s="13">
        <f t="shared" ref="E22" si="26">+E20+E21</f>
        <v>39.499999999999915</v>
      </c>
      <c r="F22" s="13">
        <f t="shared" si="24"/>
        <v>37.800000000000097</v>
      </c>
      <c r="G22" s="13">
        <f t="shared" ref="G22:H22" si="27">+G20+G21</f>
        <v>3.4000000000000901</v>
      </c>
      <c r="H22" s="13">
        <f t="shared" si="27"/>
        <v>5.5000000000000497</v>
      </c>
      <c r="I22" s="13">
        <f t="shared" ref="I22:J22" si="28">+I20+I21</f>
        <v>64.000000000000028</v>
      </c>
      <c r="J22" s="13">
        <f t="shared" si="28"/>
        <v>91.5</v>
      </c>
      <c r="K22" s="13">
        <f t="shared" ref="K22:L22" si="29">+K20+K21</f>
        <v>26.299999999999812</v>
      </c>
      <c r="L22" s="13">
        <f t="shared" si="29"/>
        <v>19.900000000000045</v>
      </c>
      <c r="M22" s="13">
        <f t="shared" ref="M22:N22" si="30">+M20+M21</f>
        <v>104.09999999999998</v>
      </c>
      <c r="N22" s="13">
        <f t="shared" si="30"/>
        <v>119.00000000000016</v>
      </c>
      <c r="O22" s="13">
        <f t="shared" ref="O22:T22" si="31">+O20+O21</f>
        <v>21.200000000000003</v>
      </c>
      <c r="P22" s="13">
        <f t="shared" si="31"/>
        <v>130.30000000000013</v>
      </c>
      <c r="Q22" s="13">
        <f t="shared" si="31"/>
        <v>121.69999999999985</v>
      </c>
      <c r="R22" s="13">
        <f t="shared" si="31"/>
        <v>125.80000000000004</v>
      </c>
      <c r="S22" s="13">
        <f t="shared" si="31"/>
        <v>53.500000000000149</v>
      </c>
      <c r="T22" s="13">
        <f t="shared" si="31"/>
        <v>43.2</v>
      </c>
      <c r="U22" s="13">
        <f t="shared" ref="U22" si="32">+U20+U21</f>
        <v>72.399999999999977</v>
      </c>
      <c r="V22" s="13"/>
    </row>
    <row r="23" spans="1:22" ht="14.85" customHeight="1" x14ac:dyDescent="0.2">
      <c r="A23" s="8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13"/>
    </row>
    <row r="24" spans="1:22" ht="14.85" customHeight="1" x14ac:dyDescent="0.2">
      <c r="A24" s="6" t="s">
        <v>33</v>
      </c>
      <c r="B24" s="14">
        <v>-343.3</v>
      </c>
      <c r="C24" s="14">
        <v>19.600000000000001</v>
      </c>
      <c r="D24" s="14">
        <v>0.5</v>
      </c>
      <c r="E24" s="14">
        <v>38.299999999999997</v>
      </c>
      <c r="F24" s="14">
        <v>39</v>
      </c>
      <c r="G24" s="14">
        <v>3.2</v>
      </c>
      <c r="H24" s="14">
        <v>3</v>
      </c>
      <c r="I24" s="14">
        <v>61</v>
      </c>
      <c r="J24" s="14">
        <f>+J22-J25</f>
        <v>90.8</v>
      </c>
      <c r="K24" s="14">
        <f>+K22-K25</f>
        <v>29.499999999999812</v>
      </c>
      <c r="L24" s="14">
        <f t="shared" ref="L24:Q24" si="33">+L22-L25</f>
        <v>19.500000000000046</v>
      </c>
      <c r="M24" s="14">
        <f t="shared" si="33"/>
        <v>99.799999999999983</v>
      </c>
      <c r="N24" s="14">
        <f t="shared" si="33"/>
        <v>118.00000000000016</v>
      </c>
      <c r="O24" s="14">
        <f t="shared" si="33"/>
        <v>19.000000000000004</v>
      </c>
      <c r="P24" s="14">
        <f t="shared" si="33"/>
        <v>129.00000000000011</v>
      </c>
      <c r="Q24" s="14">
        <f t="shared" si="33"/>
        <v>118.99999999999984</v>
      </c>
      <c r="R24" s="14">
        <v>128</v>
      </c>
      <c r="S24" s="14">
        <f>+S22-S25</f>
        <v>52.800000000000146</v>
      </c>
      <c r="T24" s="14">
        <f>+T22-T25</f>
        <v>40.900000000000006</v>
      </c>
      <c r="U24" s="14">
        <f>+U22-U25</f>
        <v>68.799999999999983</v>
      </c>
      <c r="V24" s="14"/>
    </row>
    <row r="25" spans="1:22" ht="14.85" customHeight="1" x14ac:dyDescent="0.2">
      <c r="A25" s="6" t="s">
        <v>34</v>
      </c>
      <c r="B25" s="14">
        <v>0.7</v>
      </c>
      <c r="C25" s="14">
        <v>0.6</v>
      </c>
      <c r="D25" s="14">
        <v>0.2</v>
      </c>
      <c r="E25" s="14">
        <v>1.2</v>
      </c>
      <c r="F25" s="14">
        <v>-1.2</v>
      </c>
      <c r="G25" s="14">
        <v>0.2</v>
      </c>
      <c r="H25" s="14">
        <v>2.5</v>
      </c>
      <c r="I25" s="14">
        <v>3</v>
      </c>
      <c r="J25" s="14">
        <v>0.7</v>
      </c>
      <c r="K25" s="14">
        <v>-3.2</v>
      </c>
      <c r="L25" s="14">
        <v>0.4</v>
      </c>
      <c r="M25" s="14">
        <v>4.3</v>
      </c>
      <c r="N25" s="14">
        <v>1</v>
      </c>
      <c r="O25" s="14">
        <v>2.2000000000000002</v>
      </c>
      <c r="P25" s="14">
        <v>1.3</v>
      </c>
      <c r="Q25" s="14">
        <v>2.7</v>
      </c>
      <c r="R25" s="14">
        <v>-2.2000000000000002</v>
      </c>
      <c r="S25" s="14">
        <v>0.7</v>
      </c>
      <c r="T25" s="14">
        <v>2.2999999999999998</v>
      </c>
      <c r="U25" s="14">
        <f>3.6</f>
        <v>3.6</v>
      </c>
      <c r="V25" s="14"/>
    </row>
    <row r="26" spans="1:22" ht="8.1" customHeight="1" x14ac:dyDescent="0.2">
      <c r="A26" s="6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</row>
    <row r="27" spans="1:22" x14ac:dyDescent="0.2"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</row>
    <row r="29" spans="1:22" x14ac:dyDescent="0.2">
      <c r="B29" s="49"/>
      <c r="C29" s="49"/>
      <c r="D29" s="49"/>
      <c r="E29" s="49"/>
      <c r="F29" s="49"/>
      <c r="G29" s="49"/>
      <c r="H29" s="49"/>
      <c r="I29" s="49"/>
      <c r="L29" s="49"/>
      <c r="M29" s="49"/>
    </row>
    <row r="30" spans="1:22" x14ac:dyDescent="0.2"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</row>
  </sheetData>
  <pageMargins left="0.7" right="0.7" top="0.75" bottom="0.75" header="0.3" footer="0.3"/>
  <pageSetup paperSize="9" orientation="portrait" r:id="rId1"/>
  <ignoredErrors>
    <ignoredError sqref="I17:I20 H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B33A8-C8B9-44CA-8632-58537BFFBC3B}">
  <dimension ref="A1:Z32"/>
  <sheetViews>
    <sheetView workbookViewId="0">
      <selection activeCell="A32" sqref="A32"/>
    </sheetView>
  </sheetViews>
  <sheetFormatPr defaultColWidth="9.140625" defaultRowHeight="12.75" x14ac:dyDescent="0.2"/>
  <cols>
    <col min="1" max="1" width="46.85546875" style="2" customWidth="1"/>
    <col min="2" max="21" width="10.5703125" style="2" bestFit="1" customWidth="1"/>
    <col min="22" max="16384" width="9.140625" style="2"/>
  </cols>
  <sheetData>
    <row r="1" spans="1:26" ht="32.1" customHeight="1" x14ac:dyDescent="0.25">
      <c r="A1" s="5" t="s">
        <v>35</v>
      </c>
      <c r="B1" s="10"/>
      <c r="C1" s="10"/>
      <c r="D1" s="10"/>
      <c r="E1" s="10"/>
      <c r="F1" s="10"/>
      <c r="G1" s="10"/>
      <c r="H1" s="10"/>
      <c r="I1" s="10"/>
      <c r="J1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1:26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35"/>
      <c r="S2" s="8"/>
      <c r="T2" s="8"/>
      <c r="U2" s="8"/>
      <c r="V2" s="8"/>
      <c r="W2" s="8"/>
      <c r="X2" s="8"/>
      <c r="Y2" s="8"/>
      <c r="Z2" s="8"/>
    </row>
    <row r="3" spans="1:26" x14ac:dyDescent="0.2">
      <c r="A3" s="2" t="s">
        <v>1</v>
      </c>
      <c r="B3" s="64">
        <v>46022</v>
      </c>
      <c r="C3" s="64">
        <v>45930</v>
      </c>
      <c r="D3" s="64">
        <v>45838</v>
      </c>
      <c r="E3" s="64">
        <v>45747</v>
      </c>
      <c r="F3" s="64">
        <v>45657</v>
      </c>
      <c r="G3" s="64">
        <v>45565</v>
      </c>
      <c r="H3" s="64">
        <v>45473</v>
      </c>
      <c r="I3" s="64">
        <v>45382</v>
      </c>
      <c r="J3" s="64">
        <v>45291</v>
      </c>
      <c r="K3" s="69">
        <v>45199</v>
      </c>
      <c r="L3" s="64">
        <v>45107</v>
      </c>
      <c r="M3" s="64">
        <v>45016</v>
      </c>
      <c r="N3" s="64">
        <v>44926</v>
      </c>
      <c r="O3" s="64">
        <v>44834</v>
      </c>
      <c r="P3" s="64">
        <v>44742</v>
      </c>
      <c r="Q3" s="64">
        <v>44651</v>
      </c>
      <c r="R3" s="64">
        <v>44561</v>
      </c>
      <c r="S3" s="64">
        <v>44469</v>
      </c>
      <c r="T3" s="64">
        <v>44377</v>
      </c>
      <c r="U3" s="64">
        <v>44286</v>
      </c>
      <c r="V3" s="11"/>
      <c r="W3" s="4"/>
      <c r="X3" s="4"/>
    </row>
    <row r="4" spans="1:26" x14ac:dyDescent="0.2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4"/>
      <c r="X4" s="4"/>
    </row>
    <row r="5" spans="1:26" x14ac:dyDescent="0.2">
      <c r="A5" s="8" t="s">
        <v>36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4"/>
      <c r="T5" s="4"/>
      <c r="U5" s="4"/>
      <c r="V5" s="4"/>
      <c r="W5" s="4"/>
      <c r="X5" s="4"/>
      <c r="Y5" s="4"/>
      <c r="Z5" s="4"/>
    </row>
    <row r="6" spans="1:26" x14ac:dyDescent="0.2">
      <c r="A6" s="6" t="s">
        <v>82</v>
      </c>
      <c r="B6" s="12">
        <v>3705.1</v>
      </c>
      <c r="C6" s="12">
        <v>4172.3999999999996</v>
      </c>
      <c r="D6" s="12">
        <v>4070</v>
      </c>
      <c r="E6" s="12">
        <v>4201.1000000000004</v>
      </c>
      <c r="F6" s="12">
        <v>4313.1000000000004</v>
      </c>
      <c r="G6" s="12">
        <v>4330.2</v>
      </c>
      <c r="H6" s="12">
        <v>4390.3999999999996</v>
      </c>
      <c r="I6" s="12">
        <v>4443.1000000000004</v>
      </c>
      <c r="J6" s="12">
        <v>4438</v>
      </c>
      <c r="K6" s="12">
        <v>4528.6000000000004</v>
      </c>
      <c r="L6" s="12">
        <v>4626.3</v>
      </c>
      <c r="M6" s="12">
        <v>4585.1000000000004</v>
      </c>
      <c r="N6" s="12">
        <v>4629.7</v>
      </c>
      <c r="O6" s="12">
        <v>4379.2</v>
      </c>
      <c r="P6" s="12">
        <v>4066.5</v>
      </c>
      <c r="Q6" s="12">
        <v>3986.2</v>
      </c>
      <c r="R6" s="12">
        <v>3839.5</v>
      </c>
      <c r="S6" s="12">
        <v>3672.5</v>
      </c>
      <c r="T6" s="12">
        <v>1394.2</v>
      </c>
      <c r="U6" s="12">
        <v>1412.7</v>
      </c>
      <c r="V6" s="6"/>
    </row>
    <row r="7" spans="1:26" x14ac:dyDescent="0.2">
      <c r="A7" s="6" t="s">
        <v>83</v>
      </c>
      <c r="B7" s="12">
        <v>461.5</v>
      </c>
      <c r="C7" s="12">
        <v>458.5</v>
      </c>
      <c r="D7" s="12">
        <v>488.2</v>
      </c>
      <c r="E7" s="12">
        <v>515.4</v>
      </c>
      <c r="F7" s="12">
        <v>546.6</v>
      </c>
      <c r="G7" s="12">
        <v>578.1</v>
      </c>
      <c r="H7" s="12">
        <v>594</v>
      </c>
      <c r="I7" s="12">
        <v>601.79999999999995</v>
      </c>
      <c r="J7" s="12">
        <v>619.1</v>
      </c>
      <c r="K7" s="12">
        <v>652.6</v>
      </c>
      <c r="L7" s="12">
        <v>680.5</v>
      </c>
      <c r="M7" s="12">
        <v>717.1</v>
      </c>
      <c r="N7" s="12">
        <v>723.9</v>
      </c>
      <c r="O7" s="12">
        <v>504.6</v>
      </c>
      <c r="P7" s="12">
        <v>500</v>
      </c>
      <c r="Q7" s="12">
        <v>252.8</v>
      </c>
      <c r="R7" s="12">
        <v>290.7</v>
      </c>
      <c r="S7" s="12">
        <v>341.4</v>
      </c>
      <c r="T7" s="12">
        <v>213.5</v>
      </c>
      <c r="U7" s="12">
        <v>236.7</v>
      </c>
      <c r="V7" s="6"/>
    </row>
    <row r="8" spans="1:26" x14ac:dyDescent="0.2">
      <c r="A8" s="6" t="s">
        <v>84</v>
      </c>
      <c r="B8" s="12">
        <v>6.5</v>
      </c>
      <c r="C8" s="12">
        <v>6.9</v>
      </c>
      <c r="D8" s="12">
        <v>6.9</v>
      </c>
      <c r="E8" s="12">
        <v>6.9</v>
      </c>
      <c r="F8" s="12">
        <v>7</v>
      </c>
      <c r="G8" s="12">
        <v>3.7</v>
      </c>
      <c r="H8" s="12">
        <v>3.8</v>
      </c>
      <c r="I8" s="12">
        <v>7.2</v>
      </c>
      <c r="J8" s="12">
        <v>7.2</v>
      </c>
      <c r="K8" s="12">
        <v>9.3000000000000007</v>
      </c>
      <c r="L8" s="12">
        <v>10.4</v>
      </c>
      <c r="M8" s="12">
        <v>10.3</v>
      </c>
      <c r="N8" s="12">
        <v>11.4</v>
      </c>
      <c r="O8" s="12">
        <v>10.8</v>
      </c>
      <c r="P8" s="12">
        <v>6.7</v>
      </c>
      <c r="Q8" s="12">
        <v>18.5</v>
      </c>
      <c r="R8" s="12">
        <v>17</v>
      </c>
      <c r="S8" s="12">
        <v>18.2</v>
      </c>
      <c r="T8" s="12">
        <v>15.2</v>
      </c>
      <c r="U8" s="12">
        <v>15.7</v>
      </c>
      <c r="V8" s="6"/>
    </row>
    <row r="9" spans="1:26" x14ac:dyDescent="0.2">
      <c r="A9" s="6" t="s">
        <v>37</v>
      </c>
      <c r="B9" s="12">
        <v>102.4</v>
      </c>
      <c r="C9" s="12">
        <v>106.2</v>
      </c>
      <c r="D9" s="12">
        <v>108.7</v>
      </c>
      <c r="E9" s="12">
        <v>111</v>
      </c>
      <c r="F9" s="12">
        <v>111.2</v>
      </c>
      <c r="G9" s="12">
        <v>111.8</v>
      </c>
      <c r="H9" s="12">
        <v>110.2</v>
      </c>
      <c r="I9" s="12">
        <v>101.7</v>
      </c>
      <c r="J9" s="12">
        <v>99.8</v>
      </c>
      <c r="K9" s="12">
        <v>100.6</v>
      </c>
      <c r="L9" s="12">
        <v>112.9</v>
      </c>
      <c r="M9" s="12">
        <v>108.1</v>
      </c>
      <c r="N9" s="12">
        <v>106.5</v>
      </c>
      <c r="O9" s="12">
        <v>105</v>
      </c>
      <c r="P9" s="12">
        <v>96.8</v>
      </c>
      <c r="Q9" s="12">
        <v>96</v>
      </c>
      <c r="R9" s="12">
        <v>96.8</v>
      </c>
      <c r="S9" s="12">
        <v>24.6</v>
      </c>
      <c r="T9" s="12">
        <v>17.8</v>
      </c>
      <c r="U9" s="12">
        <v>18.100000000000001</v>
      </c>
      <c r="V9" s="6"/>
    </row>
    <row r="10" spans="1:26" x14ac:dyDescent="0.2">
      <c r="A10" s="6" t="s">
        <v>85</v>
      </c>
      <c r="B10" s="12">
        <v>1367.8</v>
      </c>
      <c r="C10" s="12">
        <v>1472.4</v>
      </c>
      <c r="D10" s="12">
        <v>1397.9</v>
      </c>
      <c r="E10" s="12">
        <v>1521.1</v>
      </c>
      <c r="F10" s="12">
        <v>1433.6</v>
      </c>
      <c r="G10" s="12">
        <v>1488</v>
      </c>
      <c r="H10" s="12">
        <v>1836.4</v>
      </c>
      <c r="I10" s="12">
        <v>1847.1</v>
      </c>
      <c r="J10" s="12">
        <v>1734.4</v>
      </c>
      <c r="K10" s="12">
        <v>1853.4</v>
      </c>
      <c r="L10" s="12">
        <v>1693.6</v>
      </c>
      <c r="M10" s="12">
        <v>1682.6</v>
      </c>
      <c r="N10" s="12">
        <v>1636.5</v>
      </c>
      <c r="O10" s="12">
        <v>1586.2</v>
      </c>
      <c r="P10" s="12">
        <v>1470.5</v>
      </c>
      <c r="Q10" s="12">
        <v>1445.7</v>
      </c>
      <c r="R10" s="12">
        <v>1240</v>
      </c>
      <c r="S10" s="12">
        <v>1231.0999999999999</v>
      </c>
      <c r="T10" s="12">
        <v>873.5</v>
      </c>
      <c r="U10" s="12">
        <v>845.7</v>
      </c>
      <c r="V10" s="6"/>
    </row>
    <row r="11" spans="1:26" x14ac:dyDescent="0.2">
      <c r="A11" s="6" t="s">
        <v>86</v>
      </c>
      <c r="B11" s="12">
        <v>325.7</v>
      </c>
      <c r="C11" s="12">
        <v>211.5</v>
      </c>
      <c r="D11" s="12">
        <v>240.9</v>
      </c>
      <c r="E11" s="12">
        <v>362.7</v>
      </c>
      <c r="F11" s="12">
        <v>397.8</v>
      </c>
      <c r="G11" s="12">
        <v>358.4</v>
      </c>
      <c r="H11" s="12">
        <v>139.1</v>
      </c>
      <c r="I11" s="12">
        <v>193.4</v>
      </c>
      <c r="J11" s="12">
        <v>127.6</v>
      </c>
      <c r="K11" s="12">
        <v>101.9</v>
      </c>
      <c r="L11" s="12">
        <v>365.1</v>
      </c>
      <c r="M11" s="12">
        <v>444.6</v>
      </c>
      <c r="N11" s="12">
        <v>497.6</v>
      </c>
      <c r="O11" s="12">
        <v>638.5</v>
      </c>
      <c r="P11" s="12">
        <v>715.9</v>
      </c>
      <c r="Q11" s="12">
        <v>722.8</v>
      </c>
      <c r="R11" s="12">
        <v>851.4</v>
      </c>
      <c r="S11" s="12">
        <v>792.4</v>
      </c>
      <c r="T11" s="12">
        <v>1100.5999999999999</v>
      </c>
      <c r="U11" s="12">
        <v>704.4</v>
      </c>
      <c r="V11" s="6"/>
      <c r="W11" s="4"/>
      <c r="X11" s="4"/>
      <c r="Y11" s="4"/>
      <c r="Z11" s="4"/>
    </row>
    <row r="12" spans="1:26" x14ac:dyDescent="0.2">
      <c r="A12" s="6" t="s">
        <v>79</v>
      </c>
      <c r="B12" s="84"/>
      <c r="C12" s="84"/>
      <c r="D12" s="83">
        <v>189</v>
      </c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8"/>
    </row>
    <row r="13" spans="1:26" x14ac:dyDescent="0.2">
      <c r="A13" s="8" t="s">
        <v>38</v>
      </c>
      <c r="B13" s="27">
        <f>SUM(B6:B12)</f>
        <v>5969</v>
      </c>
      <c r="C13" s="27">
        <f>SUM(C6:C12)</f>
        <v>6427.9</v>
      </c>
      <c r="D13" s="27">
        <f>SUM(D6:D12)</f>
        <v>6501.5999999999985</v>
      </c>
      <c r="E13" s="27">
        <f>SUM(E6:E11)</f>
        <v>6718.2</v>
      </c>
      <c r="F13" s="27">
        <f>SUM(F6:F11)</f>
        <v>6809.3</v>
      </c>
      <c r="G13" s="27">
        <f>SUM(G6:G11)</f>
        <v>6870.2</v>
      </c>
      <c r="H13" s="27">
        <f>SUM(H6:H11)</f>
        <v>7073.9</v>
      </c>
      <c r="I13" s="27">
        <f t="shared" ref="I13:J13" si="0">SUM(I6:I11)</f>
        <v>7194.2999999999993</v>
      </c>
      <c r="J13" s="27">
        <f t="shared" si="0"/>
        <v>7026.1</v>
      </c>
      <c r="K13" s="27">
        <f t="shared" ref="K13:L13" si="1">SUM(K6:K11)</f>
        <v>7246.4000000000015</v>
      </c>
      <c r="L13" s="27">
        <f t="shared" si="1"/>
        <v>7488.7999999999993</v>
      </c>
      <c r="M13" s="27">
        <f t="shared" ref="M13:N13" si="2">SUM(M6:M11)</f>
        <v>7547.8000000000011</v>
      </c>
      <c r="N13" s="27">
        <f t="shared" si="2"/>
        <v>7605.5999999999995</v>
      </c>
      <c r="O13" s="27">
        <f t="shared" ref="O13:P13" si="3">SUM(O6:O11)</f>
        <v>7224.3</v>
      </c>
      <c r="P13" s="27">
        <f t="shared" si="3"/>
        <v>6856.4</v>
      </c>
      <c r="Q13" s="27">
        <f t="shared" ref="Q13:T13" si="4">SUM(Q6:Q11)</f>
        <v>6522</v>
      </c>
      <c r="R13" s="27">
        <f t="shared" si="4"/>
        <v>6335.4</v>
      </c>
      <c r="S13" s="27">
        <f t="shared" si="4"/>
        <v>6080.1999999999989</v>
      </c>
      <c r="T13" s="27">
        <f t="shared" si="4"/>
        <v>3614.7999999999997</v>
      </c>
      <c r="U13" s="27">
        <f>SUM(U6:U11)</f>
        <v>3233.3</v>
      </c>
      <c r="V13" s="8"/>
    </row>
    <row r="14" spans="1:26" x14ac:dyDescent="0.2">
      <c r="A14" s="8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8"/>
    </row>
    <row r="15" spans="1:26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6" x14ac:dyDescent="0.2">
      <c r="A16" s="8" t="s">
        <v>39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2">
      <c r="A17" s="6" t="s">
        <v>40</v>
      </c>
      <c r="B17" s="12">
        <v>27.4</v>
      </c>
      <c r="C17" s="12">
        <v>27.4</v>
      </c>
      <c r="D17" s="12">
        <v>27.4</v>
      </c>
      <c r="E17" s="12">
        <v>27.4</v>
      </c>
      <c r="F17" s="12">
        <v>27.4</v>
      </c>
      <c r="G17" s="12">
        <v>27.4</v>
      </c>
      <c r="H17" s="12">
        <v>27.4</v>
      </c>
      <c r="I17" s="12">
        <v>27.4</v>
      </c>
      <c r="J17" s="12">
        <v>27.4</v>
      </c>
      <c r="K17" s="12">
        <v>27.4</v>
      </c>
      <c r="L17" s="12">
        <v>27.4</v>
      </c>
      <c r="M17" s="12">
        <v>27.4</v>
      </c>
      <c r="N17" s="12">
        <v>27.4</v>
      </c>
      <c r="O17" s="12">
        <v>27.4</v>
      </c>
      <c r="P17" s="12">
        <v>27.4</v>
      </c>
      <c r="Q17" s="12">
        <v>27.4</v>
      </c>
      <c r="R17" s="12">
        <v>27.4</v>
      </c>
      <c r="S17" s="12">
        <v>27.4</v>
      </c>
      <c r="T17" s="12">
        <v>21.6</v>
      </c>
      <c r="U17" s="12">
        <v>19.8</v>
      </c>
      <c r="V17" s="6"/>
    </row>
    <row r="18" spans="1:26" x14ac:dyDescent="0.2">
      <c r="A18" s="6" t="s">
        <v>87</v>
      </c>
      <c r="B18" s="12">
        <v>2820.8</v>
      </c>
      <c r="C18" s="12">
        <v>2885.8</v>
      </c>
      <c r="D18" s="12">
        <v>2900.3</v>
      </c>
      <c r="E18" s="12">
        <v>2870.9</v>
      </c>
      <c r="F18" s="12">
        <v>2962.2</v>
      </c>
      <c r="G18" s="12">
        <v>2922.9</v>
      </c>
      <c r="H18" s="12">
        <v>2963.4</v>
      </c>
      <c r="I18" s="12">
        <v>2981.1</v>
      </c>
      <c r="J18" s="12">
        <v>2918.3</v>
      </c>
      <c r="K18" s="12">
        <v>2998.1</v>
      </c>
      <c r="L18" s="12">
        <v>3046.2</v>
      </c>
      <c r="M18" s="12">
        <v>2945.1</v>
      </c>
      <c r="N18" s="12">
        <v>2976.1</v>
      </c>
      <c r="O18" s="12">
        <v>2920.5</v>
      </c>
      <c r="P18" s="12">
        <v>2888.6</v>
      </c>
      <c r="Q18" s="12">
        <v>2883.1</v>
      </c>
      <c r="R18" s="12">
        <v>2832</v>
      </c>
      <c r="S18" s="12">
        <v>3079.3</v>
      </c>
      <c r="T18" s="12">
        <v>716.1</v>
      </c>
      <c r="U18" s="12">
        <v>791.3</v>
      </c>
      <c r="V18" s="6"/>
      <c r="X18" s="4"/>
      <c r="Y18" s="4"/>
      <c r="Z18" s="4"/>
    </row>
    <row r="19" spans="1:26" x14ac:dyDescent="0.2">
      <c r="A19" s="6" t="s">
        <v>88</v>
      </c>
      <c r="B19" s="12">
        <v>783.3</v>
      </c>
      <c r="C19" s="12">
        <v>1108.2</v>
      </c>
      <c r="D19" s="12">
        <v>1099.2</v>
      </c>
      <c r="E19" s="12">
        <v>1186.0999999999999</v>
      </c>
      <c r="F19" s="12">
        <v>1149</v>
      </c>
      <c r="G19" s="12">
        <v>1122.8</v>
      </c>
      <c r="H19" s="12">
        <v>1130</v>
      </c>
      <c r="I19" s="12">
        <v>1264.5</v>
      </c>
      <c r="J19" s="12">
        <v>1205.3</v>
      </c>
      <c r="K19" s="12">
        <v>1124.0999999999999</v>
      </c>
      <c r="L19" s="12">
        <v>1200.5999999999999</v>
      </c>
      <c r="M19" s="12">
        <v>1286.5999999999999</v>
      </c>
      <c r="N19" s="12">
        <v>1183</v>
      </c>
      <c r="O19" s="12">
        <v>1181.5</v>
      </c>
      <c r="P19" s="12">
        <v>1167.5999999999999</v>
      </c>
      <c r="Q19" s="12">
        <v>1142.4000000000001</v>
      </c>
      <c r="R19" s="12">
        <v>1025.3</v>
      </c>
      <c r="S19" s="12">
        <v>622.29999999999995</v>
      </c>
      <c r="T19" s="12">
        <v>1330.3</v>
      </c>
      <c r="U19" s="12">
        <v>894.6</v>
      </c>
      <c r="V19" s="6"/>
    </row>
    <row r="20" spans="1:26" ht="25.5" x14ac:dyDescent="0.2">
      <c r="A20" s="36" t="s">
        <v>41</v>
      </c>
      <c r="B20" s="29">
        <f t="shared" ref="B20:F20" si="5">SUM(B17:B19)</f>
        <v>3631.5</v>
      </c>
      <c r="C20" s="29">
        <f t="shared" ref="C20" si="6">SUM(C17:C19)</f>
        <v>4021.4000000000005</v>
      </c>
      <c r="D20" s="29">
        <f t="shared" ref="D20" si="7">SUM(D17:D19)</f>
        <v>4026.9000000000005</v>
      </c>
      <c r="E20" s="29">
        <f t="shared" ref="E20" si="8">SUM(E17:E19)</f>
        <v>4084.4</v>
      </c>
      <c r="F20" s="29">
        <f t="shared" si="5"/>
        <v>4138.6000000000004</v>
      </c>
      <c r="G20" s="29">
        <f t="shared" ref="G20:H20" si="9">SUM(G17:G19)</f>
        <v>4073.1000000000004</v>
      </c>
      <c r="H20" s="29">
        <f t="shared" si="9"/>
        <v>4120.8</v>
      </c>
      <c r="I20" s="29">
        <f t="shared" ref="I20:J20" si="10">SUM(I17:I19)</f>
        <v>4273</v>
      </c>
      <c r="J20" s="29">
        <f t="shared" si="10"/>
        <v>4151</v>
      </c>
      <c r="K20" s="29">
        <f t="shared" ref="K20:L20" si="11">SUM(K17:K19)</f>
        <v>4149.6000000000004</v>
      </c>
      <c r="L20" s="29">
        <f t="shared" si="11"/>
        <v>4274.2</v>
      </c>
      <c r="M20" s="29">
        <f t="shared" ref="M20:N20" si="12">SUM(M17:M19)</f>
        <v>4259.1000000000004</v>
      </c>
      <c r="N20" s="29">
        <f t="shared" si="12"/>
        <v>4186.5</v>
      </c>
      <c r="O20" s="29">
        <f t="shared" ref="O20:P20" si="13">SUM(O17:O19)</f>
        <v>4129.3999999999996</v>
      </c>
      <c r="P20" s="29">
        <f t="shared" si="13"/>
        <v>4083.6</v>
      </c>
      <c r="Q20" s="29">
        <f t="shared" ref="Q20:T20" si="14">SUM(Q17:Q19)</f>
        <v>4052.9</v>
      </c>
      <c r="R20" s="29">
        <f t="shared" si="14"/>
        <v>3884.7</v>
      </c>
      <c r="S20" s="29">
        <f t="shared" si="14"/>
        <v>3729</v>
      </c>
      <c r="T20" s="29">
        <f t="shared" si="14"/>
        <v>2068</v>
      </c>
      <c r="U20" s="29">
        <f>SUM(U17:U19)</f>
        <v>1705.6999999999998</v>
      </c>
      <c r="V20" s="8"/>
    </row>
    <row r="21" spans="1:26" x14ac:dyDescent="0.2">
      <c r="A21" s="6" t="s">
        <v>42</v>
      </c>
      <c r="B21" s="12">
        <v>-2.9</v>
      </c>
      <c r="C21" s="12">
        <v>-3.8</v>
      </c>
      <c r="D21" s="12">
        <v>-4.5</v>
      </c>
      <c r="E21" s="12">
        <v>0.4</v>
      </c>
      <c r="F21" s="12">
        <v>-0.9</v>
      </c>
      <c r="G21" s="12">
        <v>5.9</v>
      </c>
      <c r="H21" s="12">
        <v>10.3</v>
      </c>
      <c r="I21" s="12">
        <v>17.8</v>
      </c>
      <c r="J21" s="12">
        <v>14.7</v>
      </c>
      <c r="K21" s="12">
        <v>14.5</v>
      </c>
      <c r="L21" s="12">
        <v>14.8</v>
      </c>
      <c r="M21" s="12">
        <v>24.6</v>
      </c>
      <c r="N21" s="12">
        <v>21.2</v>
      </c>
      <c r="O21" s="12">
        <v>7.5</v>
      </c>
      <c r="P21" s="12">
        <v>0.2</v>
      </c>
      <c r="Q21" s="12">
        <v>10.3</v>
      </c>
      <c r="R21" s="12">
        <v>7.7</v>
      </c>
      <c r="S21" s="12">
        <v>12.6</v>
      </c>
      <c r="T21" s="12">
        <v>11.8</v>
      </c>
      <c r="U21" s="12">
        <v>18.899999999999999</v>
      </c>
      <c r="V21" s="6"/>
    </row>
    <row r="22" spans="1:26" x14ac:dyDescent="0.2">
      <c r="A22" s="8" t="s">
        <v>43</v>
      </c>
      <c r="B22" s="13">
        <f t="shared" ref="B22:F22" si="15">SUM(B20:B21)</f>
        <v>3628.6</v>
      </c>
      <c r="C22" s="13">
        <f t="shared" ref="C22" si="16">SUM(C20:C21)</f>
        <v>4017.6000000000004</v>
      </c>
      <c r="D22" s="13">
        <f t="shared" ref="D22" si="17">SUM(D20:D21)</f>
        <v>4022.4000000000005</v>
      </c>
      <c r="E22" s="13">
        <f t="shared" ref="E22" si="18">SUM(E20:E21)</f>
        <v>4084.8</v>
      </c>
      <c r="F22" s="13">
        <f t="shared" si="15"/>
        <v>4137.7000000000007</v>
      </c>
      <c r="G22" s="13">
        <f t="shared" ref="G22:H22" si="19">SUM(G20:G21)</f>
        <v>4079.0000000000005</v>
      </c>
      <c r="H22" s="13">
        <f t="shared" si="19"/>
        <v>4131.1000000000004</v>
      </c>
      <c r="I22" s="13">
        <f t="shared" ref="I22:J22" si="20">SUM(I20:I21)</f>
        <v>4290.8</v>
      </c>
      <c r="J22" s="13">
        <f t="shared" si="20"/>
        <v>4165.7</v>
      </c>
      <c r="K22" s="13">
        <f t="shared" ref="K22:L22" si="21">SUM(K20:K21)</f>
        <v>4164.1000000000004</v>
      </c>
      <c r="L22" s="13">
        <f t="shared" si="21"/>
        <v>4289</v>
      </c>
      <c r="M22" s="13">
        <f t="shared" ref="M22:N22" si="22">SUM(M20:M21)</f>
        <v>4283.7000000000007</v>
      </c>
      <c r="N22" s="13">
        <f t="shared" si="22"/>
        <v>4207.7</v>
      </c>
      <c r="O22" s="13">
        <f t="shared" ref="O22:P22" si="23">SUM(O20:O21)</f>
        <v>4136.8999999999996</v>
      </c>
      <c r="P22" s="13">
        <f t="shared" si="23"/>
        <v>4083.7999999999997</v>
      </c>
      <c r="Q22" s="13">
        <f t="shared" ref="Q22:T22" si="24">SUM(Q20:Q21)</f>
        <v>4063.2000000000003</v>
      </c>
      <c r="R22" s="13">
        <f t="shared" si="24"/>
        <v>3892.3999999999996</v>
      </c>
      <c r="S22" s="13">
        <f t="shared" si="24"/>
        <v>3741.6</v>
      </c>
      <c r="T22" s="13">
        <f t="shared" si="24"/>
        <v>2079.8000000000002</v>
      </c>
      <c r="U22" s="13">
        <f>SUM(U20:U21)</f>
        <v>1724.6</v>
      </c>
      <c r="V22" s="8"/>
    </row>
    <row r="23" spans="1:26" x14ac:dyDescent="0.2">
      <c r="A23" s="6" t="s">
        <v>89</v>
      </c>
      <c r="B23" s="12">
        <v>137.19999999999999</v>
      </c>
      <c r="C23" s="12">
        <v>193.7</v>
      </c>
      <c r="D23" s="12">
        <v>184.3</v>
      </c>
      <c r="E23" s="12">
        <v>193.3</v>
      </c>
      <c r="F23" s="12">
        <v>203.8</v>
      </c>
      <c r="G23" s="12">
        <v>218.9</v>
      </c>
      <c r="H23" s="12">
        <v>226.9</v>
      </c>
      <c r="I23" s="12">
        <v>235.9</v>
      </c>
      <c r="J23" s="12">
        <v>238.8</v>
      </c>
      <c r="K23" s="12">
        <v>254.7</v>
      </c>
      <c r="L23" s="12">
        <v>265</v>
      </c>
      <c r="M23" s="12">
        <v>269.2</v>
      </c>
      <c r="N23" s="12">
        <v>276.5</v>
      </c>
      <c r="O23" s="12">
        <v>261.3</v>
      </c>
      <c r="P23" s="12">
        <v>239.5</v>
      </c>
      <c r="Q23" s="12">
        <v>235.4</v>
      </c>
      <c r="R23" s="12">
        <v>229.9</v>
      </c>
      <c r="S23" s="12">
        <v>225.8</v>
      </c>
      <c r="T23" s="12">
        <v>93.5</v>
      </c>
      <c r="U23" s="12">
        <v>92.4</v>
      </c>
      <c r="V23" s="6"/>
    </row>
    <row r="24" spans="1:26" x14ac:dyDescent="0.2">
      <c r="A24" s="6" t="s">
        <v>90</v>
      </c>
      <c r="B24" s="12">
        <v>607.9</v>
      </c>
      <c r="C24" s="12">
        <v>663.8</v>
      </c>
      <c r="D24" s="12">
        <f>737.1-D25</f>
        <v>696.9</v>
      </c>
      <c r="E24" s="12">
        <f>835.2-E25</f>
        <v>817</v>
      </c>
      <c r="F24" s="12">
        <v>844.6</v>
      </c>
      <c r="G24" s="12">
        <v>975.2</v>
      </c>
      <c r="H24" s="12">
        <f>902.8-H25</f>
        <v>876.8</v>
      </c>
      <c r="I24" s="12">
        <f>916.8-I25</f>
        <v>891</v>
      </c>
      <c r="J24" s="12">
        <v>936.1</v>
      </c>
      <c r="K24" s="12">
        <v>1049.5999999999999</v>
      </c>
      <c r="L24" s="12">
        <v>1168.4000000000001</v>
      </c>
      <c r="M24" s="12">
        <v>1184.7</v>
      </c>
      <c r="N24" s="12">
        <v>1303.3</v>
      </c>
      <c r="O24" s="12">
        <v>1259.7</v>
      </c>
      <c r="P24" s="12">
        <v>1080.5999999999999</v>
      </c>
      <c r="Q24" s="12">
        <v>298.5</v>
      </c>
      <c r="R24" s="12">
        <v>286.3</v>
      </c>
      <c r="S24" s="12">
        <v>326.5</v>
      </c>
      <c r="T24" s="12">
        <v>244.9</v>
      </c>
      <c r="U24" s="12">
        <v>326.10000000000002</v>
      </c>
      <c r="V24" s="6"/>
    </row>
    <row r="25" spans="1:26" s="38" customFormat="1" x14ac:dyDescent="0.2">
      <c r="A25" s="6" t="s">
        <v>99</v>
      </c>
      <c r="B25" s="12">
        <v>78.099999999999994</v>
      </c>
      <c r="C25" s="12">
        <v>97.1</v>
      </c>
      <c r="D25" s="12">
        <v>40.200000000000003</v>
      </c>
      <c r="E25" s="12">
        <v>18.2</v>
      </c>
      <c r="F25" s="12">
        <v>18.5</v>
      </c>
      <c r="G25" s="12">
        <v>18.2</v>
      </c>
      <c r="H25" s="12">
        <v>26</v>
      </c>
      <c r="I25" s="12">
        <v>25.8</v>
      </c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5"/>
    </row>
    <row r="26" spans="1:26" ht="14.25" x14ac:dyDescent="0.2">
      <c r="A26" s="6" t="s">
        <v>100</v>
      </c>
      <c r="B26" s="12">
        <v>150.6</v>
      </c>
      <c r="C26" s="12">
        <v>155.9</v>
      </c>
      <c r="D26" s="12">
        <v>150.69999999999999</v>
      </c>
      <c r="E26" s="12">
        <v>153</v>
      </c>
      <c r="F26" s="12">
        <v>158.9</v>
      </c>
      <c r="G26" s="12">
        <v>156.80000000000001</v>
      </c>
      <c r="H26" s="12">
        <v>153.69999999999999</v>
      </c>
      <c r="I26" s="12">
        <v>160.69999999999999</v>
      </c>
      <c r="J26" s="12">
        <v>159.6</v>
      </c>
      <c r="K26" s="12">
        <v>183.8</v>
      </c>
      <c r="L26" s="12">
        <v>213.2</v>
      </c>
      <c r="M26" s="12">
        <v>297.39999999999998</v>
      </c>
      <c r="N26" s="12">
        <v>291.39999999999998</v>
      </c>
      <c r="O26" s="12">
        <v>206.9</v>
      </c>
      <c r="P26" s="12">
        <v>110.5</v>
      </c>
      <c r="Q26" s="12">
        <v>608.29999999999995</v>
      </c>
      <c r="R26" s="12">
        <v>606.6</v>
      </c>
      <c r="S26" s="12">
        <v>624.6</v>
      </c>
      <c r="T26" s="12">
        <v>295.8</v>
      </c>
      <c r="U26" s="12">
        <v>237.9</v>
      </c>
      <c r="V26" s="6"/>
    </row>
    <row r="27" spans="1:26" x14ac:dyDescent="0.2">
      <c r="A27" s="6" t="s">
        <v>91</v>
      </c>
      <c r="B27" s="12">
        <v>1366.7</v>
      </c>
      <c r="C27" s="12">
        <v>1299.8</v>
      </c>
      <c r="D27" s="12">
        <v>1359.4</v>
      </c>
      <c r="E27" s="12">
        <v>1451.9</v>
      </c>
      <c r="F27" s="12">
        <v>1445.8</v>
      </c>
      <c r="G27" s="12">
        <v>1422.1</v>
      </c>
      <c r="H27" s="12">
        <v>1659.4</v>
      </c>
      <c r="I27" s="12">
        <v>1590.1</v>
      </c>
      <c r="J27" s="12">
        <v>1525.9</v>
      </c>
      <c r="K27" s="12">
        <v>1594.2</v>
      </c>
      <c r="L27" s="12">
        <v>1553.2</v>
      </c>
      <c r="M27" s="12">
        <v>1512.8</v>
      </c>
      <c r="N27" s="12">
        <v>1526.7</v>
      </c>
      <c r="O27" s="12">
        <v>1359.5</v>
      </c>
      <c r="P27" s="12">
        <v>1342</v>
      </c>
      <c r="Q27" s="12">
        <v>1316.6</v>
      </c>
      <c r="R27" s="12">
        <v>1320.2</v>
      </c>
      <c r="S27" s="12">
        <v>1161.7</v>
      </c>
      <c r="T27" s="12">
        <v>900.8</v>
      </c>
      <c r="U27" s="12">
        <v>852.3</v>
      </c>
      <c r="V27" s="6"/>
    </row>
    <row r="28" spans="1:26" x14ac:dyDescent="0.2">
      <c r="A28" s="2" t="s">
        <v>80</v>
      </c>
      <c r="D28" s="2">
        <v>47.7</v>
      </c>
    </row>
    <row r="29" spans="1:26" x14ac:dyDescent="0.2">
      <c r="A29" s="7" t="s">
        <v>44</v>
      </c>
      <c r="B29" s="13">
        <f>SUM(B22:B28)-0.1</f>
        <v>5969</v>
      </c>
      <c r="C29" s="13">
        <f>SUM(C22:C28)</f>
        <v>6427.9000000000005</v>
      </c>
      <c r="D29" s="13">
        <f>SUM(D22:D28)</f>
        <v>6501.5999999999995</v>
      </c>
      <c r="E29" s="13">
        <f>SUM(E22:E27)</f>
        <v>6718.2000000000007</v>
      </c>
      <c r="F29" s="13">
        <f>SUM(F22:F27)+0.1</f>
        <v>6809.4000000000015</v>
      </c>
      <c r="G29" s="13">
        <f t="shared" ref="G29:H29" si="25">SUM(G22:G27)</f>
        <v>6870.2000000000007</v>
      </c>
      <c r="H29" s="13">
        <f t="shared" si="25"/>
        <v>7073.9</v>
      </c>
      <c r="I29" s="13">
        <f t="shared" ref="I29:J29" si="26">SUM(I22:I27)</f>
        <v>7194.2999999999993</v>
      </c>
      <c r="J29" s="13">
        <f t="shared" si="26"/>
        <v>7026.1</v>
      </c>
      <c r="K29" s="13">
        <f t="shared" ref="K29:L29" si="27">SUM(K22:K27)</f>
        <v>7246.4</v>
      </c>
      <c r="L29" s="13">
        <f t="shared" si="27"/>
        <v>7488.7999999999993</v>
      </c>
      <c r="M29" s="13">
        <f t="shared" ref="M29:N29" si="28">SUM(M22:M27)</f>
        <v>7547.8</v>
      </c>
      <c r="N29" s="13">
        <f t="shared" si="28"/>
        <v>7605.5999999999995</v>
      </c>
      <c r="O29" s="13">
        <f t="shared" ref="O29:P29" si="29">SUM(O22:O27)</f>
        <v>7224.2999999999993</v>
      </c>
      <c r="P29" s="13">
        <f t="shared" si="29"/>
        <v>6856.4</v>
      </c>
      <c r="Q29" s="13">
        <f t="shared" ref="Q29:T29" si="30">SUM(Q22:Q27)</f>
        <v>6522</v>
      </c>
      <c r="R29" s="13">
        <f t="shared" si="30"/>
        <v>6335.4</v>
      </c>
      <c r="S29" s="13">
        <f t="shared" si="30"/>
        <v>6080.2</v>
      </c>
      <c r="T29" s="13">
        <f t="shared" si="30"/>
        <v>3614.8</v>
      </c>
      <c r="U29" s="13">
        <f>SUM(U22:U27)</f>
        <v>3233.3</v>
      </c>
      <c r="V29" s="7"/>
      <c r="W29" s="4"/>
      <c r="X29" s="4"/>
      <c r="Y29" s="4"/>
      <c r="Z29" s="4"/>
    </row>
    <row r="31" spans="1:26" x14ac:dyDescent="0.2">
      <c r="A31" s="87" t="s">
        <v>101</v>
      </c>
      <c r="B31" s="87"/>
      <c r="C31" s="87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</row>
    <row r="32" spans="1:26" x14ac:dyDescent="0.2">
      <c r="F32" s="2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1DD87-8F9D-42FD-8ED9-004E49E1FAD5}">
  <dimension ref="A1:V17"/>
  <sheetViews>
    <sheetView workbookViewId="0">
      <selection activeCell="B10" sqref="B10"/>
    </sheetView>
  </sheetViews>
  <sheetFormatPr defaultColWidth="9.140625" defaultRowHeight="12.75" customHeight="1" x14ac:dyDescent="0.2"/>
  <cols>
    <col min="1" max="1" width="53.85546875" style="16" customWidth="1"/>
    <col min="2" max="16384" width="9.140625" style="16"/>
  </cols>
  <sheetData>
    <row r="1" spans="1:22" s="2" customFormat="1" ht="32.1" customHeight="1" x14ac:dyDescent="0.25">
      <c r="A1" s="5" t="s">
        <v>45</v>
      </c>
      <c r="B1" s="10"/>
      <c r="C1" s="10"/>
      <c r="D1" s="88"/>
      <c r="E1" s="88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1:22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2" x14ac:dyDescent="0.2">
      <c r="A3" s="6" t="s">
        <v>1</v>
      </c>
      <c r="B3" s="11" t="s">
        <v>96</v>
      </c>
      <c r="C3" s="11" t="s">
        <v>81</v>
      </c>
      <c r="D3" s="11" t="s">
        <v>78</v>
      </c>
      <c r="E3" s="11" t="s">
        <v>2</v>
      </c>
      <c r="F3" s="11" t="s">
        <v>3</v>
      </c>
      <c r="G3" s="11" t="s">
        <v>4</v>
      </c>
      <c r="H3" s="11" t="s">
        <v>5</v>
      </c>
      <c r="I3" s="11" t="s">
        <v>6</v>
      </c>
      <c r="J3" s="11" t="s">
        <v>7</v>
      </c>
      <c r="K3" s="11" t="s">
        <v>8</v>
      </c>
      <c r="L3" s="11" t="s">
        <v>9</v>
      </c>
      <c r="M3" s="11" t="s">
        <v>10</v>
      </c>
      <c r="N3" s="11" t="s">
        <v>11</v>
      </c>
      <c r="O3" s="11" t="s">
        <v>12</v>
      </c>
      <c r="P3" s="11" t="s">
        <v>13</v>
      </c>
      <c r="Q3" s="11" t="s">
        <v>14</v>
      </c>
      <c r="R3" s="11" t="s">
        <v>15</v>
      </c>
      <c r="S3" s="11" t="s">
        <v>16</v>
      </c>
      <c r="T3" s="11" t="s">
        <v>17</v>
      </c>
      <c r="U3" s="11" t="s">
        <v>18</v>
      </c>
    </row>
    <row r="4" spans="1:22" x14ac:dyDescent="0.2">
      <c r="A4" s="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</row>
    <row r="5" spans="1:22" x14ac:dyDescent="0.2">
      <c r="A5" s="6" t="s">
        <v>46</v>
      </c>
      <c r="B5" s="28">
        <v>176.6</v>
      </c>
      <c r="C5" s="28">
        <v>51.6</v>
      </c>
      <c r="D5" s="28">
        <v>50</v>
      </c>
      <c r="E5" s="28">
        <f>36.1+55.9</f>
        <v>92</v>
      </c>
      <c r="F5" s="28">
        <v>141.19999999999999</v>
      </c>
      <c r="G5" s="28">
        <v>71</v>
      </c>
      <c r="H5" s="28">
        <v>74.7</v>
      </c>
      <c r="I5" s="28">
        <v>77.599999999999994</v>
      </c>
      <c r="J5" s="28">
        <v>184.6</v>
      </c>
      <c r="K5" s="28">
        <v>123.9</v>
      </c>
      <c r="L5" s="28">
        <v>59.2</v>
      </c>
      <c r="M5" s="28">
        <v>146.1</v>
      </c>
      <c r="N5" s="28">
        <v>250.1</v>
      </c>
      <c r="O5" s="28">
        <v>74</v>
      </c>
      <c r="P5" s="28">
        <v>99.5</v>
      </c>
      <c r="Q5" s="28">
        <v>110</v>
      </c>
      <c r="R5" s="28">
        <v>214.5</v>
      </c>
      <c r="S5" s="28">
        <v>125.1</v>
      </c>
      <c r="T5" s="28">
        <v>65.5</v>
      </c>
      <c r="U5" s="28">
        <v>107.5</v>
      </c>
    </row>
    <row r="6" spans="1:22" x14ac:dyDescent="0.2">
      <c r="A6" s="6" t="s">
        <v>95</v>
      </c>
      <c r="B6" s="28">
        <v>105</v>
      </c>
      <c r="C6" s="28">
        <v>-92.4</v>
      </c>
      <c r="D6" s="28">
        <v>-5.4</v>
      </c>
      <c r="E6" s="28">
        <v>-55.9</v>
      </c>
      <c r="F6" s="28">
        <v>116.2</v>
      </c>
      <c r="G6" s="28">
        <v>99.8</v>
      </c>
      <c r="H6" s="28">
        <v>21.6</v>
      </c>
      <c r="I6" s="28">
        <v>24</v>
      </c>
      <c r="J6" s="28">
        <v>86.7</v>
      </c>
      <c r="K6" s="28">
        <v>-223.8</v>
      </c>
      <c r="L6" s="28">
        <v>62.7</v>
      </c>
      <c r="M6" s="28">
        <v>-39.6</v>
      </c>
      <c r="N6" s="28">
        <v>69.3</v>
      </c>
      <c r="O6" s="28">
        <v>-54</v>
      </c>
      <c r="P6" s="28">
        <v>31.2</v>
      </c>
      <c r="Q6" s="28">
        <v>-104.8</v>
      </c>
      <c r="R6" s="28">
        <v>52.8</v>
      </c>
      <c r="S6" s="28">
        <v>-58.6</v>
      </c>
      <c r="T6" s="28">
        <v>9</v>
      </c>
      <c r="U6" s="28">
        <v>-53</v>
      </c>
    </row>
    <row r="7" spans="1:22" ht="18.600000000000001" customHeight="1" x14ac:dyDescent="0.2">
      <c r="A7" s="48" t="s">
        <v>47</v>
      </c>
      <c r="B7" s="29">
        <f>SUM(B5:B6)</f>
        <v>281.60000000000002</v>
      </c>
      <c r="C7" s="29">
        <f>SUM(C5:C6)</f>
        <v>-40.800000000000004</v>
      </c>
      <c r="D7" s="29">
        <f>SUM(D5:D6)</f>
        <v>44.6</v>
      </c>
      <c r="E7" s="29">
        <f>SUM(E5:E6)</f>
        <v>36.1</v>
      </c>
      <c r="F7" s="29">
        <f>SUM(F5:F6)</f>
        <v>257.39999999999998</v>
      </c>
      <c r="G7" s="29">
        <f>SUM(G5:G6)-0.1</f>
        <v>170.70000000000002</v>
      </c>
      <c r="H7" s="29">
        <f>SUM(H5:H6)+0.1</f>
        <v>96.4</v>
      </c>
      <c r="I7" s="29">
        <f t="shared" ref="I7:U7" si="0">SUM(I5:I6)</f>
        <v>101.6</v>
      </c>
      <c r="J7" s="29">
        <f t="shared" si="0"/>
        <v>271.3</v>
      </c>
      <c r="K7" s="29">
        <f t="shared" si="0"/>
        <v>-99.9</v>
      </c>
      <c r="L7" s="29">
        <f t="shared" si="0"/>
        <v>121.9</v>
      </c>
      <c r="M7" s="29">
        <f t="shared" si="0"/>
        <v>106.5</v>
      </c>
      <c r="N7" s="29">
        <f t="shared" si="0"/>
        <v>319.39999999999998</v>
      </c>
      <c r="O7" s="29">
        <f t="shared" si="0"/>
        <v>20</v>
      </c>
      <c r="P7" s="29">
        <f t="shared" si="0"/>
        <v>130.69999999999999</v>
      </c>
      <c r="Q7" s="29">
        <f t="shared" si="0"/>
        <v>5.2000000000000028</v>
      </c>
      <c r="R7" s="29">
        <f t="shared" si="0"/>
        <v>267.3</v>
      </c>
      <c r="S7" s="29">
        <f t="shared" si="0"/>
        <v>66.5</v>
      </c>
      <c r="T7" s="29">
        <f t="shared" si="0"/>
        <v>74.5</v>
      </c>
      <c r="U7" s="29">
        <f t="shared" si="0"/>
        <v>54.5</v>
      </c>
    </row>
    <row r="8" spans="1:22" x14ac:dyDescent="0.2">
      <c r="A8" s="6" t="s">
        <v>48</v>
      </c>
      <c r="B8" s="28">
        <v>-8.8000000000000007</v>
      </c>
      <c r="C8" s="28">
        <v>63.9</v>
      </c>
      <c r="D8" s="28">
        <v>-3.7</v>
      </c>
      <c r="E8" s="28">
        <v>-2.8</v>
      </c>
      <c r="F8" s="28">
        <v>-4.0999999999999996</v>
      </c>
      <c r="G8" s="28">
        <v>-7</v>
      </c>
      <c r="H8" s="28">
        <v>-24.9</v>
      </c>
      <c r="I8" s="28">
        <v>-4.2</v>
      </c>
      <c r="J8" s="28">
        <v>-17.2</v>
      </c>
      <c r="K8" s="28">
        <v>-9.3000000000000007</v>
      </c>
      <c r="L8" s="28">
        <v>-159.19999999999999</v>
      </c>
      <c r="M8" s="28">
        <v>-21.8</v>
      </c>
      <c r="N8" s="28">
        <v>-233.8</v>
      </c>
      <c r="O8" s="28">
        <v>-313.60000000000002</v>
      </c>
      <c r="P8" s="28">
        <v>-99.3</v>
      </c>
      <c r="Q8" s="28">
        <v>-104.2</v>
      </c>
      <c r="R8" s="28">
        <v>-169.9</v>
      </c>
      <c r="S8" s="28">
        <v>-230.6</v>
      </c>
      <c r="T8" s="28">
        <v>-1.8</v>
      </c>
      <c r="U8" s="28">
        <v>-9.6</v>
      </c>
    </row>
    <row r="9" spans="1:22" ht="14.1" customHeight="1" x14ac:dyDescent="0.2">
      <c r="A9" s="6" t="s">
        <v>49</v>
      </c>
      <c r="B9" s="28">
        <v>-134</v>
      </c>
      <c r="C9" s="28">
        <v>-35.6</v>
      </c>
      <c r="D9" s="28">
        <v>-177.6</v>
      </c>
      <c r="E9" s="28">
        <v>-39.200000000000003</v>
      </c>
      <c r="F9" s="28">
        <v>-227.2</v>
      </c>
      <c r="G9" s="28">
        <v>55.5</v>
      </c>
      <c r="H9" s="28">
        <v>-119.3</v>
      </c>
      <c r="I9" s="28">
        <v>-36.9</v>
      </c>
      <c r="J9" s="28">
        <v>-247.5</v>
      </c>
      <c r="K9" s="28">
        <v>-136.5</v>
      </c>
      <c r="L9" s="28">
        <v>-53</v>
      </c>
      <c r="M9" s="28">
        <v>-138.69999999999999</v>
      </c>
      <c r="N9" s="28">
        <v>-232.6</v>
      </c>
      <c r="O9" s="28">
        <v>217.5</v>
      </c>
      <c r="P9" s="28">
        <v>-42.4</v>
      </c>
      <c r="Q9" s="28">
        <v>-30.6</v>
      </c>
      <c r="R9" s="28">
        <v>-34.6</v>
      </c>
      <c r="S9" s="28">
        <v>-144.19999999999999</v>
      </c>
      <c r="T9" s="28">
        <v>323.10000000000002</v>
      </c>
      <c r="U9" s="28">
        <v>-17.7</v>
      </c>
    </row>
    <row r="10" spans="1:22" ht="18.600000000000001" customHeight="1" x14ac:dyDescent="0.2">
      <c r="A10" s="1" t="s">
        <v>50</v>
      </c>
      <c r="B10" s="29">
        <f>+SUM(B7:B9)</f>
        <v>138.80000000000001</v>
      </c>
      <c r="C10" s="29">
        <f>+SUM(C7:C9)+0.1</f>
        <v>-12.400000000000007</v>
      </c>
      <c r="D10" s="29">
        <f>+SUM(D7:D9)</f>
        <v>-136.69999999999999</v>
      </c>
      <c r="E10" s="29">
        <f>+SUM(E7:E9)</f>
        <v>-5.8999999999999986</v>
      </c>
      <c r="F10" s="29">
        <f>+SUM(F7:F9)</f>
        <v>26.099999999999994</v>
      </c>
      <c r="G10" s="29">
        <f>+SUM(G7:G9)</f>
        <v>219.20000000000002</v>
      </c>
      <c r="H10" s="29">
        <f>+SUM(H7:H9)-0.1</f>
        <v>-47.9</v>
      </c>
      <c r="I10" s="29">
        <f t="shared" ref="I10:J10" si="1">+SUM(I7:I9)</f>
        <v>60.499999999999993</v>
      </c>
      <c r="J10" s="29">
        <f t="shared" si="1"/>
        <v>6.6000000000000227</v>
      </c>
      <c r="K10" s="29">
        <f t="shared" ref="K10:L10" si="2">+SUM(K7:K9)</f>
        <v>-245.7</v>
      </c>
      <c r="L10" s="29">
        <f t="shared" si="2"/>
        <v>-90.299999999999983</v>
      </c>
      <c r="M10" s="29">
        <f t="shared" ref="M10:R10" si="3">+SUM(M7:M9)</f>
        <v>-53.999999999999986</v>
      </c>
      <c r="N10" s="29">
        <f t="shared" si="3"/>
        <v>-147.00000000000003</v>
      </c>
      <c r="O10" s="29">
        <f t="shared" si="3"/>
        <v>-76.100000000000023</v>
      </c>
      <c r="P10" s="29">
        <f t="shared" si="3"/>
        <v>-11.000000000000007</v>
      </c>
      <c r="Q10" s="29">
        <f t="shared" si="3"/>
        <v>-129.6</v>
      </c>
      <c r="R10" s="29">
        <f t="shared" si="3"/>
        <v>62.800000000000004</v>
      </c>
      <c r="S10" s="29">
        <f t="shared" ref="S10:U10" si="4">+SUM(S7:S9)</f>
        <v>-308.29999999999995</v>
      </c>
      <c r="T10" s="29">
        <f t="shared" si="4"/>
        <v>395.8</v>
      </c>
      <c r="U10" s="29">
        <f t="shared" si="4"/>
        <v>27.2</v>
      </c>
    </row>
    <row r="11" spans="1:22" x14ac:dyDescent="0.2">
      <c r="A11" s="6" t="s">
        <v>94</v>
      </c>
      <c r="B11" s="28">
        <v>211.5</v>
      </c>
      <c r="C11" s="28">
        <v>240.9</v>
      </c>
      <c r="D11" s="28">
        <v>362.7</v>
      </c>
      <c r="E11" s="28">
        <v>397.8</v>
      </c>
      <c r="F11" s="28">
        <v>358.4</v>
      </c>
      <c r="G11" s="28">
        <v>139.1</v>
      </c>
      <c r="H11" s="28">
        <v>193.4</v>
      </c>
      <c r="I11" s="28">
        <v>127.6</v>
      </c>
      <c r="J11" s="28">
        <v>101.9</v>
      </c>
      <c r="K11" s="28">
        <v>365.1</v>
      </c>
      <c r="L11" s="28">
        <v>444.6</v>
      </c>
      <c r="M11" s="28">
        <v>497.7</v>
      </c>
      <c r="N11" s="28">
        <v>638.5</v>
      </c>
      <c r="O11" s="28">
        <v>715.9</v>
      </c>
      <c r="P11" s="28">
        <v>722.8</v>
      </c>
      <c r="Q11" s="28">
        <v>851.4</v>
      </c>
      <c r="R11" s="28">
        <v>792.4</v>
      </c>
      <c r="S11" s="28">
        <v>1100.5999999999999</v>
      </c>
      <c r="T11" s="28">
        <v>704.4</v>
      </c>
      <c r="U11" s="28">
        <v>675.6</v>
      </c>
    </row>
    <row r="12" spans="1:22" x14ac:dyDescent="0.2">
      <c r="A12" s="6" t="s">
        <v>93</v>
      </c>
      <c r="B12" s="28">
        <v>-24.7</v>
      </c>
      <c r="C12" s="28">
        <v>-17</v>
      </c>
      <c r="D12" s="28">
        <v>14.9</v>
      </c>
      <c r="E12" s="28">
        <v>-29.3</v>
      </c>
      <c r="F12" s="28">
        <v>13.2</v>
      </c>
      <c r="G12" s="28">
        <v>0.2</v>
      </c>
      <c r="H12" s="28">
        <v>-6.5</v>
      </c>
      <c r="I12" s="28">
        <v>5.3</v>
      </c>
      <c r="J12" s="28">
        <v>19.100000000000001</v>
      </c>
      <c r="K12" s="28">
        <v>-17.5</v>
      </c>
      <c r="L12" s="28">
        <v>10.8</v>
      </c>
      <c r="M12" s="28">
        <v>0.9</v>
      </c>
      <c r="N12" s="28">
        <v>6.1</v>
      </c>
      <c r="O12" s="28">
        <v>-1.3</v>
      </c>
      <c r="P12" s="28">
        <v>4.0999999999999996</v>
      </c>
      <c r="Q12" s="28">
        <v>1</v>
      </c>
      <c r="R12" s="28">
        <v>-3.8</v>
      </c>
      <c r="S12" s="28">
        <v>0.1</v>
      </c>
      <c r="T12" s="28">
        <v>0.4</v>
      </c>
      <c r="U12" s="28">
        <v>1.6</v>
      </c>
    </row>
    <row r="13" spans="1:22" ht="18.600000000000001" customHeight="1" x14ac:dyDescent="0.2">
      <c r="A13" s="1" t="s">
        <v>51</v>
      </c>
      <c r="B13" s="29">
        <f>B10+B11+B12+0.1</f>
        <v>325.70000000000005</v>
      </c>
      <c r="C13" s="29">
        <f>C10+C11+C12</f>
        <v>211.5</v>
      </c>
      <c r="D13" s="29">
        <f>D10+D11+D12</f>
        <v>240.9</v>
      </c>
      <c r="E13" s="29">
        <f>E10+E11+E12+0.1</f>
        <v>362.70000000000005</v>
      </c>
      <c r="F13" s="29">
        <f>F10+F11+F12+0.1</f>
        <v>397.8</v>
      </c>
      <c r="G13" s="29">
        <f>G10+G11+G12-0.1</f>
        <v>358.4</v>
      </c>
      <c r="H13" s="29">
        <f>H10+H11+H12+0.1</f>
        <v>139.1</v>
      </c>
      <c r="I13" s="29">
        <f t="shared" ref="I13:J13" si="5">I10+I11+I12</f>
        <v>193.4</v>
      </c>
      <c r="J13" s="29">
        <f t="shared" si="5"/>
        <v>127.60000000000002</v>
      </c>
      <c r="K13" s="29">
        <f t="shared" ref="K13:L13" si="6">K10+K11+K12</f>
        <v>101.90000000000003</v>
      </c>
      <c r="L13" s="29">
        <f t="shared" si="6"/>
        <v>365.10000000000008</v>
      </c>
      <c r="M13" s="29">
        <f t="shared" ref="M13:R13" si="7">M10+M11+M12</f>
        <v>444.59999999999997</v>
      </c>
      <c r="N13" s="29">
        <f>N10+N11+N12+0.1</f>
        <v>497.70000000000005</v>
      </c>
      <c r="O13" s="29">
        <f t="shared" si="7"/>
        <v>638.5</v>
      </c>
      <c r="P13" s="29">
        <f t="shared" si="7"/>
        <v>715.9</v>
      </c>
      <c r="Q13" s="29">
        <f t="shared" si="7"/>
        <v>722.8</v>
      </c>
      <c r="R13" s="29">
        <f t="shared" si="7"/>
        <v>851.4</v>
      </c>
      <c r="S13" s="29">
        <f t="shared" ref="S13:U13" si="8">S10+S11+S12</f>
        <v>792.4</v>
      </c>
      <c r="T13" s="29">
        <f t="shared" si="8"/>
        <v>1100.6000000000001</v>
      </c>
      <c r="U13" s="29">
        <f t="shared" si="8"/>
        <v>704.40000000000009</v>
      </c>
    </row>
    <row r="14" spans="1:22" x14ac:dyDescent="0.2">
      <c r="U14" s="12"/>
    </row>
    <row r="15" spans="1:22" x14ac:dyDescent="0.2">
      <c r="A15" s="30"/>
      <c r="B15" s="31"/>
      <c r="C15" s="31"/>
      <c r="D15" s="31"/>
      <c r="E15" s="31"/>
      <c r="F15" s="31"/>
      <c r="G15" s="31"/>
      <c r="H15" s="31"/>
      <c r="I15" s="31"/>
      <c r="J15" s="31"/>
      <c r="K15" s="31"/>
      <c r="N15" s="31"/>
      <c r="O15" s="31"/>
      <c r="P15" s="31"/>
      <c r="Q15" s="31"/>
      <c r="R15" s="31"/>
      <c r="S15" s="31"/>
      <c r="T15" s="31"/>
      <c r="U15" s="31"/>
    </row>
    <row r="17" spans="1:1" x14ac:dyDescent="0.2">
      <c r="A17" s="45"/>
    </row>
  </sheetData>
  <mergeCells count="1">
    <mergeCell ref="D1:E1"/>
  </mergeCells>
  <pageMargins left="0.7" right="0.7" top="0.75" bottom="0.75" header="0.3" footer="0.3"/>
  <pageSetup paperSize="9" orientation="portrait" r:id="rId1"/>
  <ignoredErrors>
    <ignoredError sqref="G13 H1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11105-4DC6-4F6E-917C-D732A55E5312}">
  <sheetPr>
    <pageSetUpPr fitToPage="1"/>
  </sheetPr>
  <dimension ref="A1:V28"/>
  <sheetViews>
    <sheetView tabSelected="1" topLeftCell="A2" workbookViewId="0">
      <selection activeCell="B27" sqref="B27"/>
    </sheetView>
  </sheetViews>
  <sheetFormatPr defaultColWidth="9.140625" defaultRowHeight="12.75" x14ac:dyDescent="0.2"/>
  <cols>
    <col min="1" max="1" width="40.42578125" style="16" customWidth="1"/>
    <col min="2" max="8" width="9.42578125" style="16" customWidth="1"/>
    <col min="9" max="9" width="9.5703125" style="16" customWidth="1"/>
    <col min="10" max="19" width="9.140625" style="16"/>
    <col min="20" max="21" width="10" style="16" customWidth="1"/>
    <col min="22" max="16384" width="9.140625" style="16"/>
  </cols>
  <sheetData>
    <row r="1" spans="1:22" s="2" customFormat="1" ht="32.1" customHeight="1" x14ac:dyDescent="0.25">
      <c r="A1" s="5" t="s">
        <v>52</v>
      </c>
      <c r="B1" s="5"/>
      <c r="C1" s="5"/>
      <c r="D1" s="5"/>
      <c r="E1" s="5"/>
      <c r="F1" s="5"/>
      <c r="G1" s="5"/>
      <c r="H1" s="5"/>
      <c r="I1" s="5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1:22" x14ac:dyDescent="0.2">
      <c r="A2" s="45"/>
      <c r="B2" s="45"/>
      <c r="C2" s="45"/>
      <c r="D2" s="45"/>
      <c r="E2" s="45"/>
      <c r="F2" s="45"/>
      <c r="G2" s="45"/>
      <c r="H2" s="45"/>
      <c r="I2" s="45"/>
      <c r="J2" s="77"/>
    </row>
    <row r="3" spans="1:22" x14ac:dyDescent="0.2">
      <c r="A3" s="45"/>
      <c r="B3" s="45"/>
      <c r="C3" s="45"/>
      <c r="D3" s="45"/>
      <c r="E3" s="45"/>
      <c r="F3" s="45"/>
      <c r="G3" s="45"/>
      <c r="H3" s="45"/>
      <c r="I3" s="45"/>
      <c r="J3" s="77"/>
    </row>
    <row r="4" spans="1:22" s="53" customFormat="1" x14ac:dyDescent="0.2">
      <c r="A4" s="15" t="s">
        <v>1</v>
      </c>
      <c r="B4" s="11" t="s">
        <v>96</v>
      </c>
      <c r="C4" s="11" t="s">
        <v>81</v>
      </c>
      <c r="D4" s="11" t="s">
        <v>78</v>
      </c>
      <c r="E4" s="11" t="s">
        <v>2</v>
      </c>
      <c r="F4" s="11" t="s">
        <v>3</v>
      </c>
      <c r="G4" s="11" t="s">
        <v>4</v>
      </c>
      <c r="H4" s="11" t="s">
        <v>5</v>
      </c>
      <c r="I4" s="11" t="s">
        <v>6</v>
      </c>
      <c r="J4" s="11" t="s">
        <v>7</v>
      </c>
      <c r="K4" s="11" t="s">
        <v>8</v>
      </c>
      <c r="L4" s="11" t="s">
        <v>9</v>
      </c>
      <c r="M4" s="11" t="s">
        <v>10</v>
      </c>
      <c r="N4" s="11" t="s">
        <v>11</v>
      </c>
      <c r="O4" s="11" t="s">
        <v>12</v>
      </c>
      <c r="P4" s="11" t="s">
        <v>13</v>
      </c>
      <c r="Q4" s="11" t="s">
        <v>14</v>
      </c>
      <c r="R4" s="21" t="s">
        <v>15</v>
      </c>
      <c r="S4" s="21" t="s">
        <v>16</v>
      </c>
      <c r="T4" s="21" t="s">
        <v>17</v>
      </c>
      <c r="U4" s="21" t="s">
        <v>18</v>
      </c>
    </row>
    <row r="6" spans="1:22" ht="14.85" customHeight="1" x14ac:dyDescent="0.2">
      <c r="A6" s="23" t="s">
        <v>53</v>
      </c>
      <c r="B6" s="23"/>
      <c r="C6" s="23"/>
      <c r="D6" s="23"/>
      <c r="E6" s="23"/>
      <c r="F6" s="23"/>
      <c r="G6" s="23"/>
      <c r="H6" s="23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89"/>
      <c r="U6" s="89"/>
    </row>
    <row r="7" spans="1:22" x14ac:dyDescent="0.2">
      <c r="A7" s="15" t="s">
        <v>19</v>
      </c>
      <c r="B7" s="15">
        <v>770.5</v>
      </c>
      <c r="C7" s="15">
        <v>647.70000000000005</v>
      </c>
      <c r="D7" s="15">
        <v>802.9</v>
      </c>
      <c r="E7" s="15">
        <v>880.2</v>
      </c>
      <c r="F7" s="15">
        <v>915.1</v>
      </c>
      <c r="G7" s="15">
        <v>749.9</v>
      </c>
      <c r="H7" s="15">
        <v>933.2</v>
      </c>
      <c r="I7" s="25">
        <v>988.9</v>
      </c>
      <c r="J7" s="25">
        <v>1003.2</v>
      </c>
      <c r="K7" s="25">
        <v>861.5</v>
      </c>
      <c r="L7" s="25">
        <v>936.3</v>
      </c>
      <c r="M7" s="25">
        <v>1062.9000000000001</v>
      </c>
      <c r="N7" s="25">
        <v>1094.9000000000001</v>
      </c>
      <c r="O7" s="33">
        <v>868.8</v>
      </c>
      <c r="P7" s="67">
        <v>904.6</v>
      </c>
      <c r="Q7" s="33">
        <v>941.8</v>
      </c>
      <c r="R7" s="2">
        <v>859.7</v>
      </c>
      <c r="S7" s="33">
        <v>678.9</v>
      </c>
      <c r="T7" s="66">
        <v>589.20000000000005</v>
      </c>
      <c r="U7" s="15">
        <v>570.70000000000005</v>
      </c>
    </row>
    <row r="8" spans="1:22" ht="15.6" customHeight="1" x14ac:dyDescent="0.2">
      <c r="A8" s="15" t="s">
        <v>23</v>
      </c>
      <c r="B8" s="43">
        <v>77.400000000000006</v>
      </c>
      <c r="C8" s="43">
        <v>64.2</v>
      </c>
      <c r="D8" s="43">
        <v>54.3</v>
      </c>
      <c r="E8" s="43">
        <v>80.3</v>
      </c>
      <c r="F8" s="43">
        <v>84.7</v>
      </c>
      <c r="G8" s="43">
        <v>60.7</v>
      </c>
      <c r="H8" s="43">
        <v>68</v>
      </c>
      <c r="I8" s="2">
        <v>82.7</v>
      </c>
      <c r="J8" s="2">
        <v>91.9</v>
      </c>
      <c r="K8" s="2">
        <v>63.2</v>
      </c>
      <c r="L8" s="2">
        <v>46.5</v>
      </c>
      <c r="M8" s="2">
        <v>113.3</v>
      </c>
      <c r="N8" s="33">
        <v>112</v>
      </c>
      <c r="O8" s="33">
        <v>72</v>
      </c>
      <c r="P8" s="42">
        <v>90.3</v>
      </c>
      <c r="Q8" s="2">
        <v>128.30000000000001</v>
      </c>
      <c r="R8" s="2">
        <v>107.6</v>
      </c>
      <c r="S8" s="2">
        <v>72.099999999999994</v>
      </c>
      <c r="T8" s="15">
        <v>68.5</v>
      </c>
      <c r="U8" s="15">
        <v>67.2</v>
      </c>
    </row>
    <row r="9" spans="1:22" x14ac:dyDescent="0.2">
      <c r="A9" s="2" t="s">
        <v>24</v>
      </c>
      <c r="B9" s="26">
        <v>0.1</v>
      </c>
      <c r="C9" s="26">
        <v>9.9000000000000005E-2</v>
      </c>
      <c r="D9" s="26">
        <v>6.8000000000000005E-2</v>
      </c>
      <c r="E9" s="26">
        <v>9.0999999999999998E-2</v>
      </c>
      <c r="F9" s="26">
        <v>9.2999999999999999E-2</v>
      </c>
      <c r="G9" s="26">
        <v>8.1000000000000003E-2</v>
      </c>
      <c r="H9" s="26">
        <v>7.2999999999999995E-2</v>
      </c>
      <c r="I9" s="26">
        <v>8.4000000000000005E-2</v>
      </c>
      <c r="J9" s="40">
        <v>9.1999999999999998E-2</v>
      </c>
      <c r="K9" s="40">
        <v>7.2999999999999995E-2</v>
      </c>
      <c r="L9" s="26">
        <v>0.05</v>
      </c>
      <c r="M9" s="26">
        <v>0.107</v>
      </c>
      <c r="N9" s="40">
        <f t="shared" ref="N9:Q9" si="0">+N8/N7</f>
        <v>0.1022924467987944</v>
      </c>
      <c r="O9" s="40">
        <f t="shared" si="0"/>
        <v>8.2872928176795591E-2</v>
      </c>
      <c r="P9" s="65">
        <f t="shared" si="0"/>
        <v>9.982312624364359E-2</v>
      </c>
      <c r="Q9" s="40">
        <f t="shared" si="0"/>
        <v>0.13622849861966449</v>
      </c>
      <c r="R9" s="40">
        <f>+R8/R7</f>
        <v>0.12515993951378387</v>
      </c>
      <c r="S9" s="40">
        <f>+S8/S7</f>
        <v>0.10620120783620562</v>
      </c>
      <c r="T9" s="65">
        <f t="shared" ref="T9:U9" si="1">+T8/T7</f>
        <v>0.11625933469110658</v>
      </c>
      <c r="U9" s="74">
        <f t="shared" si="1"/>
        <v>0.11775013141755739</v>
      </c>
    </row>
    <row r="10" spans="1:22" x14ac:dyDescent="0.2">
      <c r="A10" s="2" t="s">
        <v>54</v>
      </c>
      <c r="B10" s="24">
        <v>1636</v>
      </c>
      <c r="C10" s="24">
        <v>1656</v>
      </c>
      <c r="D10" s="24">
        <v>1646</v>
      </c>
      <c r="E10" s="24">
        <v>1671</v>
      </c>
      <c r="F10" s="24">
        <v>1715</v>
      </c>
      <c r="G10" s="24">
        <v>1762</v>
      </c>
      <c r="H10" s="24">
        <v>1812</v>
      </c>
      <c r="I10" s="24">
        <v>1856</v>
      </c>
      <c r="J10" s="24">
        <v>1923</v>
      </c>
      <c r="K10" s="24">
        <v>1953</v>
      </c>
      <c r="L10" s="24">
        <v>1961</v>
      </c>
      <c r="M10" s="24">
        <v>1978</v>
      </c>
      <c r="N10" s="24">
        <v>1996</v>
      </c>
      <c r="O10" s="24">
        <v>1977</v>
      </c>
      <c r="P10" s="71">
        <v>1770</v>
      </c>
      <c r="Q10" s="24">
        <v>1766</v>
      </c>
      <c r="R10" s="24">
        <v>1796</v>
      </c>
      <c r="S10" s="24">
        <v>1831</v>
      </c>
      <c r="T10" s="71">
        <v>1313</v>
      </c>
      <c r="U10" s="75">
        <v>1311</v>
      </c>
    </row>
    <row r="11" spans="1:22" x14ac:dyDescent="0.2"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15"/>
      <c r="U11" s="15"/>
    </row>
    <row r="12" spans="1:22" x14ac:dyDescent="0.2">
      <c r="A12" s="23" t="s">
        <v>55</v>
      </c>
      <c r="B12" s="23"/>
      <c r="C12" s="23"/>
      <c r="D12" s="23"/>
      <c r="E12" s="23"/>
      <c r="F12" s="23"/>
      <c r="G12" s="23"/>
      <c r="H12" s="23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76"/>
      <c r="U12" s="76"/>
    </row>
    <row r="13" spans="1:22" x14ac:dyDescent="0.2">
      <c r="A13" s="15" t="s">
        <v>19</v>
      </c>
      <c r="B13" s="15">
        <v>274.3</v>
      </c>
      <c r="C13" s="15">
        <v>225.1</v>
      </c>
      <c r="D13" s="15">
        <v>267.39999999999998</v>
      </c>
      <c r="E13" s="15">
        <v>286.10000000000002</v>
      </c>
      <c r="F13" s="15">
        <v>290</v>
      </c>
      <c r="G13" s="15">
        <v>235.4</v>
      </c>
      <c r="H13" s="15">
        <v>320.3</v>
      </c>
      <c r="I13" s="33">
        <v>335.2</v>
      </c>
      <c r="J13" s="33">
        <v>354.8</v>
      </c>
      <c r="K13" s="33">
        <v>306.3</v>
      </c>
      <c r="L13" s="33">
        <v>366.4</v>
      </c>
      <c r="M13" s="33">
        <v>412.2</v>
      </c>
      <c r="N13" s="2">
        <v>397.7</v>
      </c>
      <c r="O13" s="2">
        <v>311.2</v>
      </c>
      <c r="P13" s="42">
        <v>369.6</v>
      </c>
      <c r="Q13" s="2">
        <v>384.9</v>
      </c>
      <c r="R13" s="2">
        <v>345.3</v>
      </c>
      <c r="S13" s="2">
        <v>258.89999999999998</v>
      </c>
      <c r="T13" s="67">
        <v>309.2</v>
      </c>
      <c r="U13" s="15">
        <v>326.2</v>
      </c>
    </row>
    <row r="14" spans="1:22" x14ac:dyDescent="0.2">
      <c r="A14" s="15" t="s">
        <v>23</v>
      </c>
      <c r="B14" s="43">
        <v>17</v>
      </c>
      <c r="C14" s="43">
        <v>6.8</v>
      </c>
      <c r="D14" s="43">
        <v>6.3</v>
      </c>
      <c r="E14" s="43">
        <v>17.7</v>
      </c>
      <c r="F14" s="43">
        <v>8.1</v>
      </c>
      <c r="G14" s="15">
        <v>-1.3</v>
      </c>
      <c r="H14" s="15">
        <v>19.3</v>
      </c>
      <c r="I14" s="33">
        <v>28</v>
      </c>
      <c r="J14" s="33">
        <v>29</v>
      </c>
      <c r="K14" s="2">
        <v>7.4</v>
      </c>
      <c r="L14" s="2">
        <v>20.100000000000001</v>
      </c>
      <c r="M14" s="2">
        <v>60.1</v>
      </c>
      <c r="N14" s="2">
        <v>48.4</v>
      </c>
      <c r="O14" s="2">
        <v>21.4</v>
      </c>
      <c r="P14" s="2">
        <v>38.799999999999997</v>
      </c>
      <c r="Q14" s="2">
        <v>59.3</v>
      </c>
      <c r="R14" s="2">
        <v>42.3</v>
      </c>
      <c r="S14" s="2">
        <v>14.3</v>
      </c>
      <c r="T14" s="15">
        <v>33.5</v>
      </c>
      <c r="U14" s="15">
        <v>41.7</v>
      </c>
    </row>
    <row r="15" spans="1:22" x14ac:dyDescent="0.2">
      <c r="A15" s="2" t="s">
        <v>24</v>
      </c>
      <c r="B15" s="26">
        <v>6.2E-2</v>
      </c>
      <c r="C15" s="26">
        <v>0.03</v>
      </c>
      <c r="D15" s="26">
        <v>2.4E-2</v>
      </c>
      <c r="E15" s="26">
        <v>6.2E-2</v>
      </c>
      <c r="F15" s="26">
        <v>2.8000000000000001E-2</v>
      </c>
      <c r="G15" s="26">
        <v>-6.0000000000000001E-3</v>
      </c>
      <c r="H15" s="26">
        <v>0.06</v>
      </c>
      <c r="I15" s="26">
        <v>8.4000000000000005E-2</v>
      </c>
      <c r="J15" s="40">
        <v>8.2000000000000003E-2</v>
      </c>
      <c r="K15" s="40">
        <v>2.4E-2</v>
      </c>
      <c r="L15" s="26">
        <v>5.5E-2</v>
      </c>
      <c r="M15" s="26">
        <v>0.14599999999999999</v>
      </c>
      <c r="N15" s="40">
        <f t="shared" ref="N15:P15" si="2">+N14/N13</f>
        <v>0.12169977369876792</v>
      </c>
      <c r="O15" s="40">
        <f t="shared" si="2"/>
        <v>6.8766066838046272E-2</v>
      </c>
      <c r="P15" s="65">
        <f t="shared" si="2"/>
        <v>0.10497835497835496</v>
      </c>
      <c r="Q15" s="40">
        <v>0.14299999999999999</v>
      </c>
      <c r="R15" s="40">
        <f t="shared" ref="R15" si="3">+R14/R13</f>
        <v>0.12250217202432666</v>
      </c>
      <c r="S15" s="40">
        <f>+S14/S13</f>
        <v>5.5233680957898809E-2</v>
      </c>
      <c r="T15" s="65">
        <f>(+T14/T13)</f>
        <v>0.10834411384217335</v>
      </c>
      <c r="U15" s="74">
        <f t="shared" ref="U15" si="4">+U14/U13</f>
        <v>0.12783568362967507</v>
      </c>
    </row>
    <row r="16" spans="1:22" x14ac:dyDescent="0.2">
      <c r="A16" s="2" t="s">
        <v>54</v>
      </c>
      <c r="B16" s="24">
        <v>763</v>
      </c>
      <c r="C16" s="24">
        <v>775</v>
      </c>
      <c r="D16" s="24">
        <v>770</v>
      </c>
      <c r="E16" s="24">
        <v>775</v>
      </c>
      <c r="F16" s="24">
        <v>805</v>
      </c>
      <c r="G16" s="24">
        <v>817</v>
      </c>
      <c r="H16" s="24">
        <v>846</v>
      </c>
      <c r="I16" s="24">
        <v>889</v>
      </c>
      <c r="J16" s="24">
        <v>937</v>
      </c>
      <c r="K16" s="24">
        <v>979</v>
      </c>
      <c r="L16" s="24">
        <v>975</v>
      </c>
      <c r="M16" s="24">
        <v>987</v>
      </c>
      <c r="N16" s="24">
        <v>1000</v>
      </c>
      <c r="O16" s="24">
        <v>1002</v>
      </c>
      <c r="P16" s="24">
        <v>960</v>
      </c>
      <c r="Q16" s="24">
        <v>959</v>
      </c>
      <c r="R16" s="24">
        <v>929</v>
      </c>
      <c r="S16" s="24">
        <v>934</v>
      </c>
      <c r="T16" s="75">
        <v>875</v>
      </c>
      <c r="U16" s="75">
        <v>868</v>
      </c>
    </row>
    <row r="17" spans="1:21" x14ac:dyDescent="0.2"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75"/>
      <c r="U17" s="75"/>
    </row>
    <row r="18" spans="1:21" x14ac:dyDescent="0.2">
      <c r="A18" s="23" t="s">
        <v>56</v>
      </c>
      <c r="B18" s="23"/>
      <c r="C18" s="23"/>
      <c r="D18" s="23"/>
      <c r="E18" s="23"/>
      <c r="F18" s="23"/>
      <c r="G18" s="23"/>
      <c r="H18" s="23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76"/>
      <c r="U18" s="76"/>
    </row>
    <row r="19" spans="1:21" x14ac:dyDescent="0.2">
      <c r="A19" s="15" t="s">
        <v>19</v>
      </c>
      <c r="B19" s="15">
        <v>224.6</v>
      </c>
      <c r="C19" s="15">
        <v>190.8</v>
      </c>
      <c r="D19" s="15">
        <v>200.9</v>
      </c>
      <c r="E19" s="15">
        <v>208.4</v>
      </c>
      <c r="F19" s="15">
        <v>211.6</v>
      </c>
      <c r="G19" s="15">
        <v>189.3</v>
      </c>
      <c r="H19" s="15">
        <v>206.7</v>
      </c>
      <c r="I19" s="33">
        <v>219.4</v>
      </c>
      <c r="J19" s="33">
        <v>244</v>
      </c>
      <c r="K19" s="33">
        <v>225.8</v>
      </c>
      <c r="L19" s="33">
        <v>236.2</v>
      </c>
      <c r="M19" s="33">
        <v>269.10000000000002</v>
      </c>
      <c r="N19" s="33">
        <v>246.8</v>
      </c>
      <c r="O19" s="33">
        <v>218.7</v>
      </c>
      <c r="P19" s="67">
        <v>227</v>
      </c>
      <c r="Q19" s="33">
        <v>213.3</v>
      </c>
      <c r="R19" s="2">
        <v>212.7</v>
      </c>
      <c r="S19" s="2">
        <v>174.3</v>
      </c>
      <c r="T19" s="67">
        <v>26.5</v>
      </c>
      <c r="U19" s="15">
        <v>22.6</v>
      </c>
    </row>
    <row r="20" spans="1:21" x14ac:dyDescent="0.2">
      <c r="A20" s="15" t="s">
        <v>23</v>
      </c>
      <c r="B20" s="15">
        <v>25.4</v>
      </c>
      <c r="C20" s="15">
        <v>20.7</v>
      </c>
      <c r="D20" s="15">
        <v>13.4</v>
      </c>
      <c r="E20" s="15">
        <v>17.3</v>
      </c>
      <c r="F20" s="15">
        <v>22.6</v>
      </c>
      <c r="G20" s="15">
        <v>21.3</v>
      </c>
      <c r="H20" s="15">
        <v>16.600000000000001</v>
      </c>
      <c r="I20" s="33">
        <v>28.5</v>
      </c>
      <c r="J20" s="33">
        <v>31</v>
      </c>
      <c r="K20" s="33">
        <v>26.2</v>
      </c>
      <c r="L20" s="33">
        <v>19.3</v>
      </c>
      <c r="M20" s="33">
        <v>34.799999999999997</v>
      </c>
      <c r="N20" s="33">
        <v>34.700000000000003</v>
      </c>
      <c r="O20" s="33">
        <v>29</v>
      </c>
      <c r="P20" s="2">
        <v>25.5</v>
      </c>
      <c r="Q20" s="2">
        <v>29.4</v>
      </c>
      <c r="R20" s="2">
        <v>25.3</v>
      </c>
      <c r="S20" s="2">
        <v>17.100000000000001</v>
      </c>
      <c r="T20" s="15">
        <v>3.2</v>
      </c>
      <c r="U20" s="15">
        <v>2.7</v>
      </c>
    </row>
    <row r="21" spans="1:21" x14ac:dyDescent="0.2">
      <c r="A21" s="2" t="s">
        <v>24</v>
      </c>
      <c r="B21" s="26">
        <v>0.113</v>
      </c>
      <c r="C21" s="26">
        <v>0.108</v>
      </c>
      <c r="D21" s="26">
        <v>6.7000000000000004E-2</v>
      </c>
      <c r="E21" s="26">
        <v>8.3000000000000004E-2</v>
      </c>
      <c r="F21" s="26">
        <v>0.107</v>
      </c>
      <c r="G21" s="26">
        <v>0.113</v>
      </c>
      <c r="H21" s="26">
        <v>0.08</v>
      </c>
      <c r="I21" s="26">
        <v>0.13</v>
      </c>
      <c r="J21" s="40">
        <v>0.127</v>
      </c>
      <c r="K21" s="40">
        <v>0.11600000000000001</v>
      </c>
      <c r="L21" s="26">
        <v>8.2000000000000003E-2</v>
      </c>
      <c r="M21" s="26">
        <v>0.129</v>
      </c>
      <c r="N21" s="40">
        <f t="shared" ref="N21:P21" si="5">+N20/N19</f>
        <v>0.14059967585089142</v>
      </c>
      <c r="O21" s="40">
        <f t="shared" si="5"/>
        <v>0.13260173754000915</v>
      </c>
      <c r="P21" s="65">
        <f t="shared" si="5"/>
        <v>0.11233480176211454</v>
      </c>
      <c r="Q21" s="40">
        <f t="shared" ref="Q21:R21" si="6">+Q20/Q19</f>
        <v>0.13783403656821377</v>
      </c>
      <c r="R21" s="40">
        <f t="shared" si="6"/>
        <v>0.11894687353079456</v>
      </c>
      <c r="S21" s="40">
        <f>+S20/S19</f>
        <v>9.8106712564543896E-2</v>
      </c>
      <c r="T21" s="65">
        <f t="shared" ref="T21" si="7">+T20/T19</f>
        <v>0.12075471698113208</v>
      </c>
      <c r="U21" s="74">
        <f t="shared" ref="U21" si="8">+U20/U19</f>
        <v>0.11946902654867257</v>
      </c>
    </row>
    <row r="22" spans="1:21" x14ac:dyDescent="0.2">
      <c r="A22" s="2" t="s">
        <v>54</v>
      </c>
      <c r="B22" s="24">
        <v>691</v>
      </c>
      <c r="C22" s="24">
        <v>696</v>
      </c>
      <c r="D22" s="24">
        <v>687</v>
      </c>
      <c r="E22" s="24">
        <v>698</v>
      </c>
      <c r="F22" s="24">
        <v>697</v>
      </c>
      <c r="G22" s="24">
        <v>709</v>
      </c>
      <c r="H22" s="24">
        <v>710</v>
      </c>
      <c r="I22" s="24">
        <v>717</v>
      </c>
      <c r="J22" s="24">
        <v>739</v>
      </c>
      <c r="K22" s="24">
        <v>763</v>
      </c>
      <c r="L22" s="24">
        <v>764</v>
      </c>
      <c r="M22" s="24">
        <v>774</v>
      </c>
      <c r="N22" s="24">
        <v>773</v>
      </c>
      <c r="O22" s="24">
        <v>757</v>
      </c>
      <c r="P22" s="24">
        <v>740</v>
      </c>
      <c r="Q22" s="24">
        <v>676</v>
      </c>
      <c r="R22" s="24">
        <v>659</v>
      </c>
      <c r="S22" s="24">
        <v>677</v>
      </c>
      <c r="T22" s="75">
        <v>40</v>
      </c>
      <c r="U22" s="75">
        <v>34</v>
      </c>
    </row>
    <row r="23" spans="1:21" x14ac:dyDescent="0.2"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15"/>
      <c r="U23" s="15"/>
    </row>
    <row r="24" spans="1:21" x14ac:dyDescent="0.2">
      <c r="A24" s="23" t="s">
        <v>57</v>
      </c>
      <c r="B24" s="23"/>
      <c r="C24" s="23"/>
      <c r="D24" s="23"/>
      <c r="E24" s="23"/>
      <c r="F24" s="23"/>
      <c r="G24" s="23"/>
      <c r="H24" s="23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76"/>
      <c r="U24" s="76"/>
    </row>
    <row r="25" spans="1:21" x14ac:dyDescent="0.2">
      <c r="A25" s="15" t="s">
        <v>19</v>
      </c>
      <c r="B25" s="15">
        <v>233.6</v>
      </c>
      <c r="C25" s="15">
        <v>166.6</v>
      </c>
      <c r="D25" s="15">
        <v>229.1</v>
      </c>
      <c r="E25" s="15">
        <v>227.9</v>
      </c>
      <c r="F25" s="15">
        <v>233.4</v>
      </c>
      <c r="G25" s="15">
        <v>159.1</v>
      </c>
      <c r="H25" s="15">
        <v>232.6</v>
      </c>
      <c r="I25" s="33">
        <v>234.8</v>
      </c>
      <c r="J25" s="33">
        <v>237.1</v>
      </c>
      <c r="K25" s="33">
        <v>162.19999999999999</v>
      </c>
      <c r="L25" s="33">
        <v>226.1</v>
      </c>
      <c r="M25" s="33">
        <v>233.4</v>
      </c>
      <c r="N25" s="33">
        <v>239.5</v>
      </c>
      <c r="O25" s="33">
        <v>128.9</v>
      </c>
      <c r="P25" s="42">
        <v>160.1</v>
      </c>
      <c r="Q25" s="33">
        <v>160.9</v>
      </c>
      <c r="R25" s="2">
        <v>163.6</v>
      </c>
      <c r="S25" s="2">
        <v>87.1</v>
      </c>
      <c r="T25" s="67">
        <v>106.2</v>
      </c>
      <c r="U25" s="15">
        <v>101.1</v>
      </c>
    </row>
    <row r="26" spans="1:21" x14ac:dyDescent="0.2">
      <c r="A26" s="15" t="s">
        <v>23</v>
      </c>
      <c r="B26" s="15">
        <v>21.2</v>
      </c>
      <c r="C26" s="15">
        <v>-10.8</v>
      </c>
      <c r="D26" s="15">
        <v>8.6</v>
      </c>
      <c r="E26" s="15">
        <v>13.4</v>
      </c>
      <c r="F26" s="15">
        <v>12.4</v>
      </c>
      <c r="G26" s="15">
        <v>-10.3</v>
      </c>
      <c r="H26" s="15">
        <v>15.1</v>
      </c>
      <c r="I26" s="33">
        <v>19.8</v>
      </c>
      <c r="J26" s="33">
        <v>22.2</v>
      </c>
      <c r="K26" s="33">
        <v>-10.4</v>
      </c>
      <c r="L26" s="33">
        <v>19</v>
      </c>
      <c r="M26" s="33">
        <v>26.6</v>
      </c>
      <c r="N26" s="33">
        <v>31.4</v>
      </c>
      <c r="O26" s="33">
        <v>-8.3000000000000007</v>
      </c>
      <c r="P26" s="33">
        <v>24</v>
      </c>
      <c r="Q26" s="2">
        <v>20.2</v>
      </c>
      <c r="R26" s="2">
        <v>26.2</v>
      </c>
      <c r="S26" s="2">
        <v>3.2</v>
      </c>
      <c r="T26" s="15">
        <v>12.2</v>
      </c>
      <c r="U26" s="15">
        <v>8.3000000000000007</v>
      </c>
    </row>
    <row r="27" spans="1:21" x14ac:dyDescent="0.2">
      <c r="A27" s="2" t="s">
        <v>24</v>
      </c>
      <c r="B27" s="26">
        <v>9.0999999999999998E-2</v>
      </c>
      <c r="C27" s="26">
        <v>-6.5000000000000002E-2</v>
      </c>
      <c r="D27" s="26">
        <v>3.7999999999999999E-2</v>
      </c>
      <c r="E27" s="26">
        <v>5.8999999999999997E-2</v>
      </c>
      <c r="F27" s="26">
        <v>5.2999999999999999E-2</v>
      </c>
      <c r="G27" s="26">
        <v>-6.5000000000000002E-2</v>
      </c>
      <c r="H27" s="26">
        <v>6.5000000000000002E-2</v>
      </c>
      <c r="I27" s="26">
        <v>8.4000000000000005E-2</v>
      </c>
      <c r="J27" s="40">
        <v>9.4E-2</v>
      </c>
      <c r="K27" s="40">
        <v>-6.4000000000000001E-2</v>
      </c>
      <c r="L27" s="26">
        <v>8.4000000000000005E-2</v>
      </c>
      <c r="M27" s="26">
        <v>0.114</v>
      </c>
      <c r="N27" s="40">
        <f t="shared" ref="N27:Q27" si="9">+N26/N25</f>
        <v>0.13110647181628393</v>
      </c>
      <c r="O27" s="40">
        <f t="shared" si="9"/>
        <v>-6.4391000775795196E-2</v>
      </c>
      <c r="P27" s="65">
        <f t="shared" si="9"/>
        <v>0.14990630855715179</v>
      </c>
      <c r="Q27" s="40">
        <f t="shared" si="9"/>
        <v>0.12554381603480422</v>
      </c>
      <c r="R27" s="40">
        <f>+R26/R25</f>
        <v>0.16014669926650366</v>
      </c>
      <c r="S27" s="40">
        <f>+S26/S25</f>
        <v>3.673938002296212E-2</v>
      </c>
      <c r="T27" s="65">
        <f t="shared" ref="T27:U27" si="10">+T26/T25</f>
        <v>0.11487758945386063</v>
      </c>
      <c r="U27" s="74">
        <f t="shared" si="10"/>
        <v>8.209693372898122E-2</v>
      </c>
    </row>
    <row r="28" spans="1:21" x14ac:dyDescent="0.2">
      <c r="A28" s="2" t="s">
        <v>54</v>
      </c>
      <c r="B28" s="24">
        <v>537</v>
      </c>
      <c r="C28" s="24">
        <v>556</v>
      </c>
      <c r="D28" s="24">
        <v>539</v>
      </c>
      <c r="E28" s="24">
        <v>538</v>
      </c>
      <c r="F28" s="24">
        <v>554</v>
      </c>
      <c r="G28" s="24">
        <v>565</v>
      </c>
      <c r="H28" s="24">
        <v>548</v>
      </c>
      <c r="I28" s="24">
        <v>565</v>
      </c>
      <c r="J28" s="24">
        <v>578</v>
      </c>
      <c r="K28" s="24">
        <v>594</v>
      </c>
      <c r="L28" s="24">
        <v>542</v>
      </c>
      <c r="M28" s="24">
        <v>533</v>
      </c>
      <c r="N28" s="24">
        <v>541</v>
      </c>
      <c r="O28" s="24">
        <v>482</v>
      </c>
      <c r="P28" s="24">
        <v>370</v>
      </c>
      <c r="Q28" s="24">
        <v>376</v>
      </c>
      <c r="R28" s="24">
        <v>389</v>
      </c>
      <c r="S28" s="24">
        <v>350</v>
      </c>
      <c r="T28" s="75">
        <v>282</v>
      </c>
      <c r="U28" s="75">
        <v>282</v>
      </c>
    </row>
  </sheetData>
  <mergeCells count="1">
    <mergeCell ref="T6:U6"/>
  </mergeCells>
  <phoneticPr fontId="14" type="noConversion"/>
  <pageMargins left="0.7" right="0.7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DF2BF-2814-49C5-906E-237DF0E938DC}">
  <sheetPr>
    <pageSetUpPr fitToPage="1"/>
  </sheetPr>
  <dimension ref="A1:V34"/>
  <sheetViews>
    <sheetView topLeftCell="A2" workbookViewId="0">
      <selection activeCell="F28" sqref="F28"/>
    </sheetView>
  </sheetViews>
  <sheetFormatPr defaultRowHeight="15" x14ac:dyDescent="0.25"/>
  <cols>
    <col min="1" max="1" width="30.85546875" customWidth="1"/>
    <col min="2" max="21" width="9.140625" customWidth="1"/>
  </cols>
  <sheetData>
    <row r="1" spans="1:22" s="2" customFormat="1" ht="32.1" customHeight="1" x14ac:dyDescent="0.25">
      <c r="A1" s="5" t="s">
        <v>58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1:22" x14ac:dyDescent="0.25">
      <c r="A3" s="15" t="s">
        <v>1</v>
      </c>
      <c r="B3" s="11" t="s">
        <v>96</v>
      </c>
      <c r="C3" s="11" t="s">
        <v>81</v>
      </c>
      <c r="D3" s="11" t="s">
        <v>78</v>
      </c>
      <c r="E3" s="11" t="s">
        <v>2</v>
      </c>
      <c r="F3" s="11" t="s">
        <v>3</v>
      </c>
      <c r="G3" s="11" t="s">
        <v>4</v>
      </c>
      <c r="H3" s="11" t="s">
        <v>5</v>
      </c>
      <c r="I3" s="11" t="s">
        <v>6</v>
      </c>
      <c r="J3" s="11" t="s">
        <v>7</v>
      </c>
      <c r="K3" s="68" t="s">
        <v>8</v>
      </c>
      <c r="L3" s="11" t="s">
        <v>9</v>
      </c>
      <c r="M3" s="11" t="s">
        <v>10</v>
      </c>
      <c r="N3" s="11" t="s">
        <v>11</v>
      </c>
      <c r="O3" s="11" t="s">
        <v>12</v>
      </c>
      <c r="P3" s="11" t="s">
        <v>13</v>
      </c>
      <c r="Q3" s="11" t="s">
        <v>14</v>
      </c>
      <c r="R3" s="68" t="s">
        <v>15</v>
      </c>
      <c r="S3" s="21" t="s">
        <v>16</v>
      </c>
      <c r="T3" s="21" t="s">
        <v>17</v>
      </c>
      <c r="U3" s="21" t="s">
        <v>18</v>
      </c>
    </row>
    <row r="4" spans="1:22" x14ac:dyDescent="0.25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5" spans="1:22" x14ac:dyDescent="0.25">
      <c r="A5" s="23" t="s">
        <v>59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</row>
    <row r="6" spans="1:22" x14ac:dyDescent="0.25">
      <c r="A6" s="15" t="s">
        <v>19</v>
      </c>
      <c r="B6" s="33">
        <v>690.8</v>
      </c>
      <c r="C6" s="33">
        <v>529.79999999999995</v>
      </c>
      <c r="D6" s="33">
        <v>647.79999999999995</v>
      </c>
      <c r="E6" s="33">
        <v>666.4</v>
      </c>
      <c r="F6" s="33">
        <v>701</v>
      </c>
      <c r="G6" s="33">
        <v>547.9</v>
      </c>
      <c r="H6" s="33">
        <v>712.2</v>
      </c>
      <c r="I6" s="33">
        <v>758.6</v>
      </c>
      <c r="J6" s="33">
        <v>807.3</v>
      </c>
      <c r="K6" s="33">
        <v>660.3</v>
      </c>
      <c r="L6" s="33">
        <v>801.9</v>
      </c>
      <c r="M6" s="33">
        <v>892.4</v>
      </c>
      <c r="N6" s="43">
        <v>906.2</v>
      </c>
      <c r="O6" s="43">
        <v>663.6</v>
      </c>
      <c r="P6" s="43">
        <v>808.8</v>
      </c>
      <c r="Q6" s="33">
        <v>832</v>
      </c>
      <c r="R6" s="2">
        <v>858.9</v>
      </c>
      <c r="S6" s="33">
        <v>609.9</v>
      </c>
      <c r="T6" s="2">
        <v>530.5</v>
      </c>
      <c r="U6" s="2">
        <v>521.9</v>
      </c>
      <c r="V6" s="37"/>
    </row>
    <row r="7" spans="1:22" x14ac:dyDescent="0.25">
      <c r="A7" s="15" t="s">
        <v>23</v>
      </c>
      <c r="B7" s="33">
        <v>62</v>
      </c>
      <c r="C7" s="33">
        <v>16.100000000000001</v>
      </c>
      <c r="D7" s="33">
        <v>28.1</v>
      </c>
      <c r="E7" s="33">
        <v>44.9</v>
      </c>
      <c r="F7" s="33">
        <v>43.2</v>
      </c>
      <c r="G7" s="33">
        <v>9.6</v>
      </c>
      <c r="H7" s="33">
        <v>29.2</v>
      </c>
      <c r="I7" s="33">
        <v>73.900000000000006</v>
      </c>
      <c r="J7" s="33">
        <v>82.1</v>
      </c>
      <c r="K7" s="33">
        <v>19.8</v>
      </c>
      <c r="L7" s="33">
        <v>54.3</v>
      </c>
      <c r="M7" s="33">
        <v>113.8</v>
      </c>
      <c r="N7" s="43">
        <v>129.19999999999999</v>
      </c>
      <c r="O7" s="43">
        <v>56.5</v>
      </c>
      <c r="P7" s="43">
        <v>102.5</v>
      </c>
      <c r="Q7" s="33">
        <v>132.30000000000001</v>
      </c>
      <c r="R7" s="67">
        <v>127</v>
      </c>
      <c r="S7" s="33">
        <v>52.5</v>
      </c>
      <c r="T7" s="2">
        <v>64.3</v>
      </c>
      <c r="U7" s="2">
        <v>62.7</v>
      </c>
      <c r="V7" s="37"/>
    </row>
    <row r="8" spans="1:22" x14ac:dyDescent="0.25">
      <c r="A8" s="2" t="s">
        <v>24</v>
      </c>
      <c r="B8" s="26">
        <v>0.09</v>
      </c>
      <c r="C8" s="26">
        <v>0.03</v>
      </c>
      <c r="D8" s="26">
        <v>4.2999999999999997E-2</v>
      </c>
      <c r="E8" s="26">
        <v>6.7000000000000004E-2</v>
      </c>
      <c r="F8" s="26">
        <v>6.2E-2</v>
      </c>
      <c r="G8" s="26">
        <v>1.7999999999999999E-2</v>
      </c>
      <c r="H8" s="26">
        <v>4.1000000000000002E-2</v>
      </c>
      <c r="I8" s="26">
        <v>9.7000000000000003E-2</v>
      </c>
      <c r="J8" s="26">
        <f t="shared" ref="J8:K8" si="0">+J7/J6</f>
        <v>0.101697014740493</v>
      </c>
      <c r="K8" s="26">
        <f t="shared" si="0"/>
        <v>2.9986369831894597E-2</v>
      </c>
      <c r="L8" s="26">
        <f t="shared" ref="L8:M8" si="1">+L7/L6</f>
        <v>6.7714178825289933E-2</v>
      </c>
      <c r="M8" s="26">
        <f t="shared" si="1"/>
        <v>0.12752129090094128</v>
      </c>
      <c r="N8" s="26">
        <f>+N7/N6</f>
        <v>0.14257338335908187</v>
      </c>
      <c r="O8" s="51">
        <f>+O7/O6</f>
        <v>8.5141651597347795E-2</v>
      </c>
      <c r="P8" s="51">
        <f>+P7/P6</f>
        <v>0.12673095944609297</v>
      </c>
      <c r="Q8" s="26">
        <f t="shared" ref="Q8" si="2">+Q7/Q6</f>
        <v>0.15901442307692309</v>
      </c>
      <c r="R8" s="40">
        <f t="shared" ref="R8:U8" si="3">+R7/R6</f>
        <v>0.14786354639655375</v>
      </c>
      <c r="S8" s="40">
        <f t="shared" si="3"/>
        <v>8.6079685194294153E-2</v>
      </c>
      <c r="T8" s="40">
        <f t="shared" si="3"/>
        <v>0.12120640904806786</v>
      </c>
      <c r="U8" s="40">
        <f t="shared" si="3"/>
        <v>0.12013795746311555</v>
      </c>
    </row>
    <row r="9" spans="1:22" x14ac:dyDescent="0.25"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51"/>
      <c r="P9" s="51"/>
      <c r="Q9" s="2"/>
      <c r="R9" s="2"/>
      <c r="S9" s="2"/>
      <c r="T9" s="2"/>
      <c r="U9" s="2"/>
    </row>
    <row r="10" spans="1:22" x14ac:dyDescent="0.25">
      <c r="A10" s="23" t="s">
        <v>60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52"/>
      <c r="P10" s="52"/>
      <c r="Q10" s="44"/>
      <c r="R10" s="73"/>
      <c r="S10" s="73"/>
      <c r="T10" s="44"/>
      <c r="U10" s="32"/>
    </row>
    <row r="11" spans="1:22" x14ac:dyDescent="0.25">
      <c r="A11" s="15" t="s">
        <v>19</v>
      </c>
      <c r="B11" s="2">
        <v>441.9</v>
      </c>
      <c r="C11" s="2">
        <v>370.9</v>
      </c>
      <c r="D11" s="2">
        <v>435.7</v>
      </c>
      <c r="E11" s="2">
        <v>483.7</v>
      </c>
      <c r="F11" s="2">
        <v>450.9</v>
      </c>
      <c r="G11" s="2">
        <v>373.8</v>
      </c>
      <c r="H11" s="2">
        <v>478.1</v>
      </c>
      <c r="I11" s="2">
        <v>488.8</v>
      </c>
      <c r="J11" s="2">
        <v>501.2</v>
      </c>
      <c r="K11" s="2">
        <v>441.8</v>
      </c>
      <c r="L11" s="2">
        <v>486.3</v>
      </c>
      <c r="M11" s="2">
        <v>574.9</v>
      </c>
      <c r="N11" s="15">
        <v>587.29999999999995</v>
      </c>
      <c r="O11" s="15">
        <v>471.1</v>
      </c>
      <c r="P11" s="15">
        <v>507.6</v>
      </c>
      <c r="Q11" s="2">
        <v>543.79999999999995</v>
      </c>
      <c r="R11" s="2">
        <v>442.2</v>
      </c>
      <c r="S11" s="2">
        <v>352.9</v>
      </c>
      <c r="T11" s="2">
        <v>412.5</v>
      </c>
      <c r="U11" s="33">
        <v>398.2</v>
      </c>
      <c r="V11" s="37"/>
    </row>
    <row r="12" spans="1:22" x14ac:dyDescent="0.25">
      <c r="A12" s="15" t="s">
        <v>23</v>
      </c>
      <c r="B12" s="33">
        <v>46.9</v>
      </c>
      <c r="C12" s="33">
        <v>31.8</v>
      </c>
      <c r="D12" s="33">
        <v>35</v>
      </c>
      <c r="E12" s="33">
        <v>50.5</v>
      </c>
      <c r="F12" s="33">
        <v>33.9</v>
      </c>
      <c r="G12" s="33">
        <v>35.299999999999997</v>
      </c>
      <c r="H12" s="33">
        <v>49.4</v>
      </c>
      <c r="I12" s="33">
        <v>51.4</v>
      </c>
      <c r="J12" s="33">
        <v>44.6</v>
      </c>
      <c r="K12" s="33">
        <v>29.9</v>
      </c>
      <c r="L12" s="33">
        <v>23.4</v>
      </c>
      <c r="M12" s="33">
        <v>66.900000000000006</v>
      </c>
      <c r="N12" s="43">
        <v>60.8</v>
      </c>
      <c r="O12" s="43">
        <v>31.3</v>
      </c>
      <c r="P12" s="43">
        <v>46.9</v>
      </c>
      <c r="Q12" s="33">
        <v>65.400000000000006</v>
      </c>
      <c r="R12" s="67">
        <v>47.3</v>
      </c>
      <c r="S12" s="2">
        <v>33.4</v>
      </c>
      <c r="T12" s="2">
        <v>44.9</v>
      </c>
      <c r="U12" s="2">
        <v>50.1</v>
      </c>
      <c r="V12" s="37"/>
    </row>
    <row r="13" spans="1:22" x14ac:dyDescent="0.25">
      <c r="A13" s="2" t="s">
        <v>24</v>
      </c>
      <c r="B13" s="40">
        <v>0.106</v>
      </c>
      <c r="C13" s="40">
        <v>8.5999999999999993E-2</v>
      </c>
      <c r="D13" s="40">
        <v>0.08</v>
      </c>
      <c r="E13" s="40">
        <v>0.104</v>
      </c>
      <c r="F13" s="40">
        <v>7.4999999999999997E-2</v>
      </c>
      <c r="G13" s="26">
        <v>9.4E-2</v>
      </c>
      <c r="H13" s="26">
        <v>0.10299999999999999</v>
      </c>
      <c r="I13" s="26">
        <v>0.105</v>
      </c>
      <c r="J13" s="26">
        <f t="shared" ref="J13:K13" si="4">+J12/J11</f>
        <v>8.8986432561851556E-2</v>
      </c>
      <c r="K13" s="26">
        <f t="shared" si="4"/>
        <v>6.7677682209144399E-2</v>
      </c>
      <c r="L13" s="26">
        <f t="shared" ref="L13:M13" si="5">+L12/L11</f>
        <v>4.8118445404071557E-2</v>
      </c>
      <c r="M13" s="26">
        <f t="shared" si="5"/>
        <v>0.11636806401113238</v>
      </c>
      <c r="N13" s="26">
        <f t="shared" ref="N13:O13" si="6">+N12/N11</f>
        <v>0.10352460412055169</v>
      </c>
      <c r="O13" s="26">
        <f t="shared" si="6"/>
        <v>6.6440246232222458E-2</v>
      </c>
      <c r="P13" s="26">
        <f t="shared" ref="P13:Q13" si="7">+P12/P11</f>
        <v>9.2395587076438135E-2</v>
      </c>
      <c r="Q13" s="26">
        <f t="shared" si="7"/>
        <v>0.12026480323648402</v>
      </c>
      <c r="R13" s="40">
        <f t="shared" ref="R13:U13" si="8">+R12/R11</f>
        <v>0.10696517412935323</v>
      </c>
      <c r="S13" s="40">
        <f t="shared" si="8"/>
        <v>9.4644375177104001E-2</v>
      </c>
      <c r="T13" s="40">
        <f t="shared" si="8"/>
        <v>0.10884848484848485</v>
      </c>
      <c r="U13" s="40">
        <f t="shared" si="8"/>
        <v>0.12581617277749876</v>
      </c>
    </row>
    <row r="14" spans="1:22" x14ac:dyDescent="0.25">
      <c r="B14" s="40"/>
      <c r="C14" s="40"/>
      <c r="D14" s="40"/>
      <c r="E14" s="40"/>
      <c r="F14" s="40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"/>
      <c r="R14" s="2"/>
      <c r="S14" s="2"/>
      <c r="T14" s="2"/>
      <c r="U14" s="2"/>
    </row>
    <row r="15" spans="1:22" x14ac:dyDescent="0.25">
      <c r="A15" s="23" t="s">
        <v>61</v>
      </c>
      <c r="B15" s="73"/>
      <c r="C15" s="73"/>
      <c r="D15" s="73"/>
      <c r="E15" s="73"/>
      <c r="F15" s="73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73"/>
      <c r="S15" s="73"/>
      <c r="T15" s="44"/>
      <c r="U15" s="32"/>
    </row>
    <row r="16" spans="1:22" x14ac:dyDescent="0.25">
      <c r="A16" s="15" t="s">
        <v>19</v>
      </c>
      <c r="B16" s="33">
        <v>120.3</v>
      </c>
      <c r="C16" s="33">
        <v>111.8</v>
      </c>
      <c r="D16" s="33">
        <v>183</v>
      </c>
      <c r="E16" s="33">
        <v>208.8</v>
      </c>
      <c r="F16" s="33">
        <v>244.1</v>
      </c>
      <c r="G16" s="33">
        <v>185.7</v>
      </c>
      <c r="H16" s="33">
        <v>237.1</v>
      </c>
      <c r="I16" s="33">
        <v>252.1</v>
      </c>
      <c r="J16" s="33">
        <v>242.4</v>
      </c>
      <c r="K16" s="33">
        <v>204.1</v>
      </c>
      <c r="L16" s="33">
        <v>208.7</v>
      </c>
      <c r="M16" s="33">
        <v>235.4</v>
      </c>
      <c r="N16" s="33">
        <v>232</v>
      </c>
      <c r="O16" s="2">
        <v>190.1</v>
      </c>
      <c r="P16" s="2">
        <v>128.80000000000001</v>
      </c>
      <c r="Q16" s="2">
        <v>125.9</v>
      </c>
      <c r="R16" s="2">
        <v>91.6</v>
      </c>
      <c r="S16" s="2">
        <v>79.599999999999994</v>
      </c>
      <c r="T16" s="2">
        <v>41.3</v>
      </c>
      <c r="U16" s="33">
        <v>41.9</v>
      </c>
    </row>
    <row r="17" spans="1:21" x14ac:dyDescent="0.25">
      <c r="A17" s="15" t="s">
        <v>23</v>
      </c>
      <c r="B17" s="33">
        <v>2.9</v>
      </c>
      <c r="C17" s="33">
        <v>3.1</v>
      </c>
      <c r="D17" s="33">
        <v>4.7</v>
      </c>
      <c r="E17" s="33">
        <v>13.8</v>
      </c>
      <c r="F17" s="33">
        <v>16.399999999999999</v>
      </c>
      <c r="G17" s="33">
        <v>-1.2</v>
      </c>
      <c r="H17" s="33">
        <v>14.5</v>
      </c>
      <c r="I17" s="33">
        <v>11.8</v>
      </c>
      <c r="J17" s="33">
        <v>17.2</v>
      </c>
      <c r="K17" s="33">
        <v>17.8</v>
      </c>
      <c r="L17" s="33">
        <v>4.26</v>
      </c>
      <c r="M17" s="33">
        <v>19.899999999999999</v>
      </c>
      <c r="N17" s="33">
        <v>11</v>
      </c>
      <c r="O17" s="33">
        <v>10.4</v>
      </c>
      <c r="P17" s="33">
        <v>10.8</v>
      </c>
      <c r="Q17" s="33">
        <v>12.3</v>
      </c>
      <c r="R17" s="67">
        <v>8.1</v>
      </c>
      <c r="S17" s="2">
        <v>5.6</v>
      </c>
      <c r="T17" s="2">
        <v>4.5</v>
      </c>
      <c r="U17" s="2">
        <v>4.4000000000000004</v>
      </c>
    </row>
    <row r="18" spans="1:21" x14ac:dyDescent="0.25">
      <c r="A18" s="2" t="s">
        <v>24</v>
      </c>
      <c r="B18" s="40">
        <v>2.4E-2</v>
      </c>
      <c r="C18" s="40">
        <v>2.7E-2</v>
      </c>
      <c r="D18" s="40">
        <v>2.5999999999999999E-2</v>
      </c>
      <c r="E18" s="40">
        <v>6.6000000000000003E-2</v>
      </c>
      <c r="F18" s="40">
        <v>6.7000000000000004E-2</v>
      </c>
      <c r="G18" s="26">
        <v>-6.0000000000000001E-3</v>
      </c>
      <c r="H18" s="40">
        <v>6.0999999999999999E-2</v>
      </c>
      <c r="I18" s="40">
        <v>4.8000000000000001E-2</v>
      </c>
      <c r="J18" s="40">
        <f t="shared" ref="J18" si="9">+J17/J16</f>
        <v>7.0957095709570955E-2</v>
      </c>
      <c r="K18" s="40">
        <f t="shared" ref="K18:L18" si="10">+K17/K16</f>
        <v>8.7212150906418429E-2</v>
      </c>
      <c r="L18" s="40">
        <f t="shared" si="10"/>
        <v>2.0412074748442741E-2</v>
      </c>
      <c r="M18" s="26">
        <f t="shared" ref="M18:N18" si="11">+M17/M16</f>
        <v>8.4536958368734066E-2</v>
      </c>
      <c r="N18" s="26">
        <f t="shared" si="11"/>
        <v>4.7413793103448273E-2</v>
      </c>
      <c r="O18" s="26">
        <v>5.3999999999999999E-2</v>
      </c>
      <c r="P18" s="26">
        <f t="shared" ref="P18:Q18" si="12">+P17/P16</f>
        <v>8.3850931677018625E-2</v>
      </c>
      <c r="Q18" s="26">
        <f t="shared" si="12"/>
        <v>9.7696584590945199E-2</v>
      </c>
      <c r="R18" s="40">
        <f t="shared" ref="R18:U18" si="13">+R17/R16</f>
        <v>8.8427947598253273E-2</v>
      </c>
      <c r="S18" s="40">
        <f t="shared" si="13"/>
        <v>7.0351758793969849E-2</v>
      </c>
      <c r="T18" s="40">
        <f t="shared" si="13"/>
        <v>0.10895883777239711</v>
      </c>
      <c r="U18" s="40">
        <f t="shared" si="13"/>
        <v>0.10501193317422436</v>
      </c>
    </row>
    <row r="19" spans="1:21" x14ac:dyDescent="0.25">
      <c r="A19" s="2"/>
      <c r="B19" s="40"/>
      <c r="C19" s="40"/>
      <c r="D19" s="40"/>
      <c r="E19" s="40"/>
      <c r="F19" s="40"/>
      <c r="G19" s="26"/>
      <c r="H19" s="40"/>
      <c r="I19" s="40"/>
      <c r="J19" s="40"/>
      <c r="K19" s="40"/>
      <c r="L19" s="40"/>
      <c r="M19" s="26"/>
      <c r="N19" s="26"/>
      <c r="O19" s="26"/>
      <c r="P19" s="26"/>
      <c r="Q19" s="26"/>
      <c r="R19" s="40"/>
      <c r="S19" s="40"/>
      <c r="T19" s="40"/>
      <c r="U19" s="40"/>
    </row>
    <row r="20" spans="1:21" x14ac:dyDescent="0.25">
      <c r="A20" s="23" t="s">
        <v>62</v>
      </c>
      <c r="B20" s="73"/>
      <c r="C20" s="73"/>
      <c r="D20" s="73"/>
      <c r="E20" s="73"/>
      <c r="F20" s="73"/>
      <c r="G20" s="44"/>
      <c r="H20" s="73"/>
      <c r="I20" s="73"/>
      <c r="J20" s="73"/>
      <c r="K20" s="73"/>
      <c r="L20" s="73"/>
      <c r="M20" s="44"/>
      <c r="N20" s="44"/>
      <c r="O20" s="44"/>
      <c r="P20" s="44"/>
      <c r="Q20" s="44"/>
      <c r="R20" s="73"/>
      <c r="S20" s="73"/>
      <c r="T20" s="44"/>
      <c r="U20" s="32"/>
    </row>
    <row r="21" spans="1:21" x14ac:dyDescent="0.25">
      <c r="A21" s="15" t="s">
        <v>19</v>
      </c>
      <c r="B21" s="33">
        <v>165.5</v>
      </c>
      <c r="C21" s="33">
        <v>138.80000000000001</v>
      </c>
      <c r="D21" s="33">
        <v>165.1</v>
      </c>
      <c r="E21" s="33">
        <v>173.2</v>
      </c>
      <c r="F21" s="33">
        <v>184.1</v>
      </c>
      <c r="G21" s="33">
        <v>156.69999999999999</v>
      </c>
      <c r="H21" s="33">
        <v>194</v>
      </c>
      <c r="I21" s="2">
        <v>204.2</v>
      </c>
      <c r="J21" s="2">
        <v>208.6</v>
      </c>
      <c r="K21" s="2">
        <v>170.6</v>
      </c>
      <c r="L21" s="2">
        <v>199.3</v>
      </c>
      <c r="M21" s="2">
        <v>200.4</v>
      </c>
      <c r="N21" s="2">
        <v>185.9</v>
      </c>
      <c r="O21" s="2">
        <v>137.9</v>
      </c>
      <c r="P21" s="2">
        <v>146.80000000000001</v>
      </c>
      <c r="Q21" s="2">
        <v>143.5</v>
      </c>
      <c r="R21" s="2">
        <v>139.1</v>
      </c>
      <c r="S21" s="2">
        <v>108.5</v>
      </c>
      <c r="T21" s="2">
        <v>45.5</v>
      </c>
      <c r="U21" s="2">
        <v>45.2</v>
      </c>
    </row>
    <row r="22" spans="1:21" x14ac:dyDescent="0.25">
      <c r="A22" s="15" t="s">
        <v>23</v>
      </c>
      <c r="B22" s="33">
        <v>16.3</v>
      </c>
      <c r="C22" s="33">
        <v>16</v>
      </c>
      <c r="D22" s="33">
        <v>7.4</v>
      </c>
      <c r="E22" s="33">
        <v>12.3</v>
      </c>
      <c r="F22" s="33">
        <v>21.2</v>
      </c>
      <c r="G22" s="33">
        <v>18.399999999999999</v>
      </c>
      <c r="H22" s="33">
        <v>15.8</v>
      </c>
      <c r="I22" s="33">
        <v>14.4</v>
      </c>
      <c r="J22" s="33">
        <v>17.5</v>
      </c>
      <c r="K22" s="33">
        <v>11.1</v>
      </c>
      <c r="L22" s="33">
        <v>11.7</v>
      </c>
      <c r="M22" s="33">
        <v>16.399999999999999</v>
      </c>
      <c r="N22" s="33">
        <v>5.4</v>
      </c>
      <c r="O22" s="33">
        <v>4.4000000000000004</v>
      </c>
      <c r="P22" s="33">
        <v>8.5</v>
      </c>
      <c r="Q22" s="33">
        <v>9.9</v>
      </c>
      <c r="R22" s="67">
        <v>19.2</v>
      </c>
      <c r="S22" s="2">
        <v>7.2</v>
      </c>
      <c r="T22" s="33">
        <v>2</v>
      </c>
      <c r="U22" s="2">
        <v>1.9</v>
      </c>
    </row>
    <row r="23" spans="1:21" x14ac:dyDescent="0.25">
      <c r="A23" s="2" t="s">
        <v>24</v>
      </c>
      <c r="B23" s="40">
        <v>9.8000000000000004E-2</v>
      </c>
      <c r="C23" s="40">
        <v>0.115</v>
      </c>
      <c r="D23" s="40">
        <v>4.4999999999999998E-2</v>
      </c>
      <c r="E23" s="40">
        <v>7.0999999999999994E-2</v>
      </c>
      <c r="F23" s="40">
        <v>0.115</v>
      </c>
      <c r="G23" s="26">
        <v>0.11799999999999999</v>
      </c>
      <c r="H23" s="40">
        <v>8.1000000000000003E-2</v>
      </c>
      <c r="I23" s="40">
        <v>7.0999999999999994E-2</v>
      </c>
      <c r="J23" s="40">
        <f t="shared" ref="J23:K23" si="14">+J22/J21</f>
        <v>8.3892617449664433E-2</v>
      </c>
      <c r="K23" s="40">
        <f t="shared" si="14"/>
        <v>6.5064478311840562E-2</v>
      </c>
      <c r="L23" s="40">
        <f t="shared" ref="L23:M23" si="15">+L22/L21</f>
        <v>5.870546914199698E-2</v>
      </c>
      <c r="M23" s="26">
        <f t="shared" si="15"/>
        <v>8.1836327345309379E-2</v>
      </c>
      <c r="N23" s="26">
        <f t="shared" ref="N23:O23" si="16">+N22/N21</f>
        <v>2.9047875201721356E-2</v>
      </c>
      <c r="O23" s="26">
        <f t="shared" si="16"/>
        <v>3.1907179115300943E-2</v>
      </c>
      <c r="P23" s="26">
        <f t="shared" ref="P23:Q23" si="17">+P22/P21</f>
        <v>5.7901907356948223E-2</v>
      </c>
      <c r="Q23" s="26">
        <f t="shared" si="17"/>
        <v>6.8989547038327534E-2</v>
      </c>
      <c r="R23" s="40">
        <f t="shared" ref="R23:U23" si="18">+R22/R21</f>
        <v>0.13803019410496045</v>
      </c>
      <c r="S23" s="40">
        <f t="shared" si="18"/>
        <v>6.6359447004608302E-2</v>
      </c>
      <c r="T23" s="40">
        <f t="shared" si="18"/>
        <v>4.3956043956043959E-2</v>
      </c>
      <c r="U23" s="40">
        <f t="shared" si="18"/>
        <v>4.2035398230088492E-2</v>
      </c>
    </row>
    <row r="24" spans="1:21" x14ac:dyDescent="0.25">
      <c r="B24" s="40"/>
      <c r="C24" s="40"/>
      <c r="D24" s="40"/>
      <c r="E24" s="40"/>
      <c r="F24" s="40"/>
      <c r="G24" s="26"/>
      <c r="H24" s="40"/>
      <c r="I24" s="40"/>
      <c r="J24" s="40"/>
      <c r="K24" s="40"/>
      <c r="L24" s="40"/>
      <c r="M24" s="26"/>
      <c r="N24" s="26"/>
      <c r="O24" s="26"/>
      <c r="P24" s="26"/>
      <c r="Q24" s="2"/>
      <c r="R24" s="2"/>
      <c r="S24" s="2"/>
      <c r="T24" s="2"/>
      <c r="U24" s="2"/>
    </row>
    <row r="25" spans="1:21" x14ac:dyDescent="0.25">
      <c r="A25" s="23" t="s">
        <v>63</v>
      </c>
      <c r="B25" s="73"/>
      <c r="C25" s="73"/>
      <c r="D25" s="73"/>
      <c r="E25" s="73"/>
      <c r="F25" s="73"/>
      <c r="G25" s="44"/>
      <c r="H25" s="73"/>
      <c r="I25" s="73"/>
      <c r="J25" s="73"/>
      <c r="K25" s="73"/>
      <c r="L25" s="73"/>
      <c r="M25" s="44"/>
      <c r="N25" s="44"/>
      <c r="O25" s="44"/>
      <c r="P25" s="44"/>
      <c r="Q25" s="44"/>
      <c r="R25" s="73"/>
      <c r="S25" s="73"/>
      <c r="T25" s="44"/>
      <c r="U25" s="32"/>
    </row>
    <row r="26" spans="1:21" x14ac:dyDescent="0.25">
      <c r="A26" s="15" t="s">
        <v>19</v>
      </c>
      <c r="B26" s="33">
        <v>58.5</v>
      </c>
      <c r="C26" s="33">
        <v>56.1</v>
      </c>
      <c r="D26" s="33">
        <v>52.3</v>
      </c>
      <c r="E26" s="33">
        <v>55.4</v>
      </c>
      <c r="F26" s="33">
        <v>56.3</v>
      </c>
      <c r="G26" s="33">
        <v>56.3</v>
      </c>
      <c r="H26" s="33">
        <v>54.6</v>
      </c>
      <c r="I26" s="33">
        <v>57.4</v>
      </c>
      <c r="J26" s="2">
        <v>59.8</v>
      </c>
      <c r="K26" s="2">
        <v>62.7</v>
      </c>
      <c r="L26" s="2">
        <v>57.8</v>
      </c>
      <c r="M26" s="2">
        <v>62.1</v>
      </c>
      <c r="N26" s="2">
        <v>54.7</v>
      </c>
      <c r="O26" s="2">
        <v>52.2</v>
      </c>
      <c r="P26" s="2">
        <v>47.7</v>
      </c>
      <c r="Q26" s="2">
        <v>45.1</v>
      </c>
      <c r="R26" s="2">
        <v>39.799999999999997</v>
      </c>
      <c r="S26" s="2">
        <v>36.4</v>
      </c>
      <c r="T26" s="41" t="s">
        <v>21</v>
      </c>
      <c r="U26" s="41" t="s">
        <v>21</v>
      </c>
    </row>
    <row r="27" spans="1:21" x14ac:dyDescent="0.25">
      <c r="A27" s="15" t="s">
        <v>23</v>
      </c>
      <c r="B27" s="33">
        <v>6.7</v>
      </c>
      <c r="C27" s="33">
        <v>7.4</v>
      </c>
      <c r="D27" s="33">
        <v>3.5</v>
      </c>
      <c r="E27" s="33">
        <v>4.0999999999999996</v>
      </c>
      <c r="F27" s="33">
        <v>9.5</v>
      </c>
      <c r="G27" s="33">
        <v>6.2</v>
      </c>
      <c r="H27" s="33">
        <v>5</v>
      </c>
      <c r="I27" s="33">
        <v>5</v>
      </c>
      <c r="J27" s="33">
        <v>7.6</v>
      </c>
      <c r="K27" s="33">
        <v>9.5</v>
      </c>
      <c r="L27" s="33">
        <v>4.1399999999999997</v>
      </c>
      <c r="M27" s="33">
        <v>7.5</v>
      </c>
      <c r="N27" s="33">
        <v>6.2</v>
      </c>
      <c r="O27" s="33">
        <v>6.9</v>
      </c>
      <c r="P27" s="33">
        <v>4</v>
      </c>
      <c r="Q27" s="33">
        <v>5.2</v>
      </c>
      <c r="R27" s="67">
        <v>3.8</v>
      </c>
      <c r="S27" s="42">
        <v>3.9</v>
      </c>
      <c r="T27" s="41" t="s">
        <v>21</v>
      </c>
      <c r="U27" s="41" t="s">
        <v>21</v>
      </c>
    </row>
    <row r="28" spans="1:21" x14ac:dyDescent="0.25">
      <c r="A28" s="2" t="s">
        <v>24</v>
      </c>
      <c r="B28" s="26">
        <v>0.114</v>
      </c>
      <c r="C28" s="26">
        <v>0.13300000000000001</v>
      </c>
      <c r="D28" s="26">
        <v>6.7000000000000004E-2</v>
      </c>
      <c r="E28" s="26">
        <v>7.2999999999999995E-2</v>
      </c>
      <c r="F28" s="26">
        <v>0.16800000000000001</v>
      </c>
      <c r="G28" s="26">
        <v>0.111</v>
      </c>
      <c r="H28" s="40">
        <v>9.0999999999999998E-2</v>
      </c>
      <c r="I28" s="40">
        <v>8.6999999999999994E-2</v>
      </c>
      <c r="J28" s="65">
        <v>0.126</v>
      </c>
      <c r="K28" s="40">
        <f t="shared" ref="K28" si="19">+K27/K26</f>
        <v>0.15151515151515152</v>
      </c>
      <c r="L28" s="40">
        <f>+L27/L26</f>
        <v>7.1626297577854672E-2</v>
      </c>
      <c r="M28" s="26">
        <f t="shared" ref="M28:N28" si="20">+M27/M26</f>
        <v>0.12077294685990338</v>
      </c>
      <c r="N28" s="26">
        <f t="shared" si="20"/>
        <v>0.11334552102376599</v>
      </c>
      <c r="O28" s="26">
        <v>0.13300000000000001</v>
      </c>
      <c r="P28" s="26">
        <f t="shared" ref="P28:Q28" si="21">+P27/P26</f>
        <v>8.3857442348008376E-2</v>
      </c>
      <c r="Q28" s="26">
        <f t="shared" si="21"/>
        <v>0.11529933481152993</v>
      </c>
      <c r="R28" s="40">
        <f t="shared" ref="R28:S28" si="22">+R27/R26</f>
        <v>9.5477386934673364E-2</v>
      </c>
      <c r="S28" s="40">
        <f t="shared" si="22"/>
        <v>0.10714285714285715</v>
      </c>
      <c r="T28" s="41" t="s">
        <v>21</v>
      </c>
      <c r="U28" s="41" t="s">
        <v>21</v>
      </c>
    </row>
    <row r="29" spans="1:21" x14ac:dyDescent="0.25">
      <c r="B29" s="26"/>
      <c r="C29" s="26"/>
      <c r="D29" s="26"/>
      <c r="E29" s="26"/>
      <c r="F29" s="26"/>
      <c r="G29" s="26"/>
      <c r="H29" s="81"/>
      <c r="I29" s="40"/>
      <c r="J29" s="40"/>
      <c r="K29" s="40"/>
      <c r="L29" s="40"/>
      <c r="M29" s="26"/>
      <c r="N29" s="26"/>
      <c r="O29" s="26"/>
      <c r="P29" s="26"/>
      <c r="U29" s="41"/>
    </row>
    <row r="30" spans="1:21" x14ac:dyDescent="0.25">
      <c r="A30" s="38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</row>
    <row r="31" spans="1:21" x14ac:dyDescent="0.25">
      <c r="A31" s="38"/>
    </row>
    <row r="32" spans="1:21" x14ac:dyDescent="0.25"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</row>
    <row r="33" spans="14:14" x14ac:dyDescent="0.25">
      <c r="N33" s="37"/>
    </row>
    <row r="34" spans="14:14" x14ac:dyDescent="0.25">
      <c r="N34" s="50"/>
    </row>
  </sheetData>
  <phoneticPr fontId="14" type="noConversion"/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E2076-D5A5-403D-9670-43930ADF4A22}">
  <sheetPr>
    <pageSetUpPr fitToPage="1"/>
  </sheetPr>
  <dimension ref="A1:X22"/>
  <sheetViews>
    <sheetView workbookViewId="0">
      <selection activeCell="F20" sqref="F20"/>
    </sheetView>
  </sheetViews>
  <sheetFormatPr defaultRowHeight="15" x14ac:dyDescent="0.25"/>
  <cols>
    <col min="1" max="1" width="42.85546875" customWidth="1"/>
    <col min="2" max="21" width="10.5703125" bestFit="1" customWidth="1"/>
    <col min="22" max="22" width="14.42578125" bestFit="1" customWidth="1"/>
  </cols>
  <sheetData>
    <row r="1" spans="1:24" s="2" customFormat="1" ht="32.1" customHeight="1" x14ac:dyDescent="0.25">
      <c r="A1" s="5" t="s">
        <v>64</v>
      </c>
      <c r="S1" s="10"/>
      <c r="T1" s="10"/>
      <c r="U1" s="10"/>
      <c r="V1" s="10"/>
      <c r="W1" s="3"/>
      <c r="X1" s="3"/>
    </row>
    <row r="3" spans="1:24" s="2" customFormat="1" ht="12.75" x14ac:dyDescent="0.2">
      <c r="A3" s="6"/>
      <c r="B3" s="68" t="s">
        <v>96</v>
      </c>
      <c r="C3" s="68" t="s">
        <v>81</v>
      </c>
      <c r="D3" s="68" t="s">
        <v>78</v>
      </c>
      <c r="E3" s="68" t="s">
        <v>2</v>
      </c>
      <c r="F3" s="68" t="s">
        <v>3</v>
      </c>
      <c r="G3" s="68" t="s">
        <v>4</v>
      </c>
      <c r="H3" s="68" t="s">
        <v>5</v>
      </c>
      <c r="I3" s="68" t="s">
        <v>6</v>
      </c>
      <c r="J3" s="68" t="s">
        <v>7</v>
      </c>
      <c r="K3" s="68" t="s">
        <v>8</v>
      </c>
      <c r="L3" s="68" t="s">
        <v>9</v>
      </c>
      <c r="M3" s="68" t="s">
        <v>10</v>
      </c>
      <c r="N3" s="68" t="s">
        <v>11</v>
      </c>
      <c r="O3" s="68" t="s">
        <v>12</v>
      </c>
      <c r="P3" s="68" t="s">
        <v>13</v>
      </c>
      <c r="Q3" s="68" t="s">
        <v>14</v>
      </c>
      <c r="R3" s="68" t="s">
        <v>15</v>
      </c>
      <c r="S3" s="68" t="s">
        <v>16</v>
      </c>
      <c r="T3" s="68" t="s">
        <v>17</v>
      </c>
      <c r="U3" s="11" t="s">
        <v>18</v>
      </c>
      <c r="V3" s="4"/>
      <c r="W3" s="4"/>
    </row>
    <row r="4" spans="1:24" s="2" customFormat="1" ht="12.75" x14ac:dyDescent="0.2">
      <c r="A4" s="1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11"/>
      <c r="V4" s="4"/>
      <c r="W4" s="4"/>
    </row>
    <row r="5" spans="1:24" s="2" customFormat="1" ht="12.75" x14ac:dyDescent="0.2">
      <c r="A5" s="6" t="s">
        <v>65</v>
      </c>
      <c r="B5" s="66">
        <v>1492</v>
      </c>
      <c r="C5" s="66">
        <v>1221.9000000000001</v>
      </c>
      <c r="D5" s="66">
        <v>1490.5</v>
      </c>
      <c r="E5" s="66">
        <v>1593.6</v>
      </c>
      <c r="F5" s="66">
        <v>1641.9</v>
      </c>
      <c r="G5" s="66">
        <v>1326.2</v>
      </c>
      <c r="H5" s="66">
        <v>1681.3</v>
      </c>
      <c r="I5" s="66">
        <v>1766.3</v>
      </c>
      <c r="J5" s="66">
        <v>1824</v>
      </c>
      <c r="K5" s="66">
        <v>1544.1</v>
      </c>
      <c r="L5" s="66">
        <v>1758.8</v>
      </c>
      <c r="M5" s="66">
        <v>1970.5</v>
      </c>
      <c r="N5" s="66">
        <v>1972.9</v>
      </c>
      <c r="O5" s="66">
        <v>1520.9</v>
      </c>
      <c r="P5" s="66">
        <f>+PL!P5</f>
        <v>1644.7</v>
      </c>
      <c r="Q5" s="66">
        <f>+PL!Q5</f>
        <v>1695.3</v>
      </c>
      <c r="R5" s="66">
        <f>+PL!R5</f>
        <v>1575.9</v>
      </c>
      <c r="S5" s="66">
        <f>+PL!S5</f>
        <v>1190.9000000000001</v>
      </c>
      <c r="T5" s="66">
        <f>+PL!T5</f>
        <v>1033.7</v>
      </c>
      <c r="U5" s="25">
        <f>+PL!U5</f>
        <v>1011.4</v>
      </c>
      <c r="V5" s="4"/>
      <c r="W5" s="4"/>
    </row>
    <row r="6" spans="1:24" x14ac:dyDescent="0.25">
      <c r="A6" s="6" t="s">
        <v>66</v>
      </c>
      <c r="B6" s="66">
        <v>116</v>
      </c>
      <c r="C6" s="66">
        <v>62.5</v>
      </c>
      <c r="D6" s="66">
        <v>54</v>
      </c>
      <c r="E6" s="66">
        <v>104.5</v>
      </c>
      <c r="F6" s="66">
        <v>106.6</v>
      </c>
      <c r="G6" s="66">
        <v>57.9</v>
      </c>
      <c r="H6" s="66">
        <v>94.2</v>
      </c>
      <c r="I6" s="66">
        <v>136.30000000000001</v>
      </c>
      <c r="J6" s="66">
        <v>147.69999999999999</v>
      </c>
      <c r="K6" s="66">
        <v>74.900000000000006</v>
      </c>
      <c r="L6" s="66">
        <v>76.8</v>
      </c>
      <c r="M6" s="66">
        <v>198.1</v>
      </c>
      <c r="N6" s="66">
        <v>179.3</v>
      </c>
      <c r="O6" s="66">
        <v>94.5</v>
      </c>
      <c r="P6" s="66">
        <v>140.5</v>
      </c>
      <c r="Q6" s="66">
        <v>194.19999999999976</v>
      </c>
      <c r="R6" s="66">
        <v>181.10000000000014</v>
      </c>
      <c r="S6" s="66">
        <v>105.4</v>
      </c>
      <c r="T6" s="66">
        <v>98.30000000000004</v>
      </c>
      <c r="U6" s="25">
        <v>103.29999999999998</v>
      </c>
      <c r="V6" s="4"/>
    </row>
    <row r="7" spans="1:24" x14ac:dyDescent="0.25">
      <c r="A7" s="6" t="s">
        <v>67</v>
      </c>
      <c r="B7" s="65">
        <v>7.8E-2</v>
      </c>
      <c r="C7" s="65">
        <v>5.0999999999999997E-2</v>
      </c>
      <c r="D7" s="65">
        <v>3.5999999999999997E-2</v>
      </c>
      <c r="E7" s="65">
        <v>6.6000000000000003E-2</v>
      </c>
      <c r="F7" s="65">
        <v>6.5000000000000002E-2</v>
      </c>
      <c r="G7" s="65">
        <v>4.3999999999999997E-2</v>
      </c>
      <c r="H7" s="65">
        <v>5.6000000000000001E-2</v>
      </c>
      <c r="I7" s="65">
        <v>7.6999999999999999E-2</v>
      </c>
      <c r="J7" s="65">
        <v>8.1000000000000003E-2</v>
      </c>
      <c r="K7" s="65">
        <v>4.9000000000000002E-2</v>
      </c>
      <c r="L7" s="65">
        <v>4.3999999999999997E-2</v>
      </c>
      <c r="M7" s="65">
        <v>0.10100000000000001</v>
      </c>
      <c r="N7" s="65">
        <v>9.0999999999999998E-2</v>
      </c>
      <c r="O7" s="65">
        <v>6.2E-2</v>
      </c>
      <c r="P7" s="65">
        <f>+P6/P5</f>
        <v>8.5425913540463305E-2</v>
      </c>
      <c r="Q7" s="65">
        <v>0.1145519966967497</v>
      </c>
      <c r="R7" s="65">
        <v>0.11491845929310243</v>
      </c>
      <c r="S7" s="65">
        <v>8.8420522294063386E-2</v>
      </c>
      <c r="T7" s="65">
        <v>9.509528876850154E-2</v>
      </c>
      <c r="U7" s="40">
        <v>0.10213565354953529</v>
      </c>
    </row>
    <row r="8" spans="1:24" x14ac:dyDescent="0.25">
      <c r="A8" s="6" t="s">
        <v>68</v>
      </c>
      <c r="B8" s="66">
        <v>115.7</v>
      </c>
      <c r="C8" s="66">
        <v>77.400000000000006</v>
      </c>
      <c r="D8" s="66">
        <v>51.2</v>
      </c>
      <c r="E8" s="66">
        <v>104.5</v>
      </c>
      <c r="F8" s="66">
        <v>106.6</v>
      </c>
      <c r="G8" s="66">
        <v>57.9</v>
      </c>
      <c r="H8" s="66">
        <v>65.900000000000006</v>
      </c>
      <c r="I8" s="66">
        <v>136.30000000000001</v>
      </c>
      <c r="J8" s="66">
        <v>147.69999999999999</v>
      </c>
      <c r="K8" s="66">
        <v>74.8</v>
      </c>
      <c r="L8" s="66">
        <v>76.599999999999994</v>
      </c>
      <c r="M8" s="66">
        <v>197.2</v>
      </c>
      <c r="N8" s="66">
        <v>178</v>
      </c>
      <c r="O8" s="66">
        <v>90</v>
      </c>
      <c r="P8" s="66">
        <f>+PL!P9</f>
        <v>136.40000000000015</v>
      </c>
      <c r="Q8" s="66">
        <f>+PL!Q9</f>
        <v>192.09999999999985</v>
      </c>
      <c r="R8" s="66">
        <f>+PL!R9</f>
        <v>168.20000000000005</v>
      </c>
      <c r="S8" s="66">
        <f>+PL!S9</f>
        <v>94.500000000000142</v>
      </c>
      <c r="T8" s="66">
        <f>+PL!T9</f>
        <v>72.599999999999994</v>
      </c>
      <c r="U8" s="25">
        <f>+PL!U9</f>
        <v>103.29999999999998</v>
      </c>
    </row>
    <row r="9" spans="1:24" x14ac:dyDescent="0.25">
      <c r="A9" s="6" t="s">
        <v>69</v>
      </c>
      <c r="B9" s="65">
        <v>7.8E-2</v>
      </c>
      <c r="C9" s="65">
        <v>6.3E-2</v>
      </c>
      <c r="D9" s="65">
        <v>3.4000000000000002E-2</v>
      </c>
      <c r="E9" s="65">
        <v>6.6000000000000003E-2</v>
      </c>
      <c r="F9" s="65">
        <v>6.5000000000000002E-2</v>
      </c>
      <c r="G9" s="65">
        <v>4.3999999999999997E-2</v>
      </c>
      <c r="H9" s="65">
        <v>3.9E-2</v>
      </c>
      <c r="I9" s="65">
        <v>7.6999999999999999E-2</v>
      </c>
      <c r="J9" s="65">
        <v>8.1000000000000003E-2</v>
      </c>
      <c r="K9" s="65">
        <v>4.8000000000000001E-2</v>
      </c>
      <c r="L9" s="65">
        <v>4.3999999999999997E-2</v>
      </c>
      <c r="M9" s="65">
        <v>0.1</v>
      </c>
      <c r="N9" s="65">
        <v>0.09</v>
      </c>
      <c r="O9" s="65">
        <v>5.8999999999999997E-2</v>
      </c>
      <c r="P9" s="65">
        <f>+PL!P10</f>
        <v>8.2933057700492585E-2</v>
      </c>
      <c r="Q9" s="65">
        <f>+PL!Q10</f>
        <v>0.11331327788591981</v>
      </c>
      <c r="R9" s="65">
        <f>+PL!R10</f>
        <v>0.10673266070182121</v>
      </c>
      <c r="S9" s="65">
        <f>+PL!S10</f>
        <v>7.9351750776723601E-2</v>
      </c>
      <c r="T9" s="65">
        <f>+PL!T10</f>
        <v>7.0233143078262547E-2</v>
      </c>
      <c r="U9" s="40">
        <f>+PL!U10</f>
        <v>0.10213565354953529</v>
      </c>
    </row>
    <row r="10" spans="1:24" x14ac:dyDescent="0.25">
      <c r="A10" s="6" t="s">
        <v>70</v>
      </c>
      <c r="B10" s="66">
        <v>-324.39999999999998</v>
      </c>
      <c r="C10" s="66">
        <v>36</v>
      </c>
      <c r="D10" s="66">
        <v>11.1</v>
      </c>
      <c r="E10" s="66">
        <v>64</v>
      </c>
      <c r="F10" s="66">
        <v>64.8</v>
      </c>
      <c r="G10" s="66">
        <v>16.3</v>
      </c>
      <c r="H10" s="66">
        <v>24</v>
      </c>
      <c r="I10" s="66">
        <v>94.8</v>
      </c>
      <c r="J10" s="66">
        <v>105.9</v>
      </c>
      <c r="K10" s="66">
        <v>15.9</v>
      </c>
      <c r="L10" s="66">
        <v>33.5</v>
      </c>
      <c r="M10" s="66">
        <v>154.5</v>
      </c>
      <c r="N10" s="66">
        <v>131.6</v>
      </c>
      <c r="O10" s="66">
        <v>50.1</v>
      </c>
      <c r="P10" s="66">
        <f>+PL!P17</f>
        <v>104.60000000000015</v>
      </c>
      <c r="Q10" s="66">
        <f>+PL!Q17</f>
        <v>160.89999999999986</v>
      </c>
      <c r="R10" s="66">
        <f>+PL!R17</f>
        <v>132.30000000000004</v>
      </c>
      <c r="S10" s="66">
        <f>+PL!S17</f>
        <v>69.400000000000148</v>
      </c>
      <c r="T10" s="66">
        <f>+PL!T17</f>
        <v>65.5</v>
      </c>
      <c r="U10" s="25">
        <f>+PL!U17</f>
        <v>96.199999999999989</v>
      </c>
    </row>
    <row r="11" spans="1:24" x14ac:dyDescent="0.25">
      <c r="A11" s="6" t="s">
        <v>71</v>
      </c>
      <c r="B11" s="70">
        <v>-12.57</v>
      </c>
      <c r="C11" s="70">
        <v>0.72</v>
      </c>
      <c r="D11" s="70">
        <v>0.02</v>
      </c>
      <c r="E11" s="70">
        <v>1.4</v>
      </c>
      <c r="F11" s="70">
        <v>1.43</v>
      </c>
      <c r="G11" s="70">
        <v>0.12</v>
      </c>
      <c r="H11" s="70">
        <v>0.11</v>
      </c>
      <c r="I11" s="70">
        <v>2.23</v>
      </c>
      <c r="J11" s="70">
        <v>3.32</v>
      </c>
      <c r="K11" s="70">
        <v>1.08</v>
      </c>
      <c r="L11" s="70">
        <v>0.71</v>
      </c>
      <c r="M11" s="70">
        <v>3.64</v>
      </c>
      <c r="N11" s="70">
        <v>4.3099999999999996</v>
      </c>
      <c r="O11" s="70">
        <v>0.69</v>
      </c>
      <c r="P11" s="70">
        <v>4.71</v>
      </c>
      <c r="Q11" s="70">
        <v>4.34</v>
      </c>
      <c r="R11" s="70">
        <v>4.67</v>
      </c>
      <c r="S11" s="70">
        <v>1.93</v>
      </c>
      <c r="T11" s="70">
        <v>2.0299999999999998</v>
      </c>
      <c r="U11" s="63">
        <v>3.49</v>
      </c>
    </row>
    <row r="12" spans="1:24" x14ac:dyDescent="0.25">
      <c r="A12" s="6" t="s">
        <v>72</v>
      </c>
      <c r="B12" s="66">
        <v>281.60000000000002</v>
      </c>
      <c r="C12" s="66">
        <v>-40.799999999999997</v>
      </c>
      <c r="D12" s="66">
        <v>44.6</v>
      </c>
      <c r="E12" s="66">
        <v>36.1</v>
      </c>
      <c r="F12" s="66">
        <v>257.39999999999998</v>
      </c>
      <c r="G12" s="66">
        <v>170.7</v>
      </c>
      <c r="H12" s="66">
        <v>96.4</v>
      </c>
      <c r="I12" s="66">
        <v>101.6</v>
      </c>
      <c r="J12" s="66">
        <v>271.3</v>
      </c>
      <c r="K12" s="66">
        <v>-99.9</v>
      </c>
      <c r="L12" s="66">
        <v>121.9</v>
      </c>
      <c r="M12" s="66">
        <v>106.5</v>
      </c>
      <c r="N12" s="66">
        <v>319.39999999999998</v>
      </c>
      <c r="O12" s="66">
        <v>20</v>
      </c>
      <c r="P12" s="66">
        <f>+CFA!P7</f>
        <v>130.69999999999999</v>
      </c>
      <c r="Q12" s="66">
        <f>+CFA!Q7</f>
        <v>5.2000000000000028</v>
      </c>
      <c r="R12" s="66">
        <f>+CFA!R7</f>
        <v>267.3</v>
      </c>
      <c r="S12" s="66">
        <f>+CFA!S7</f>
        <v>66.5</v>
      </c>
      <c r="T12" s="66">
        <f>+CFA!T7</f>
        <v>74.5</v>
      </c>
      <c r="U12" s="25">
        <f>+CFA!U7</f>
        <v>54.5</v>
      </c>
    </row>
    <row r="13" spans="1:24" x14ac:dyDescent="0.25">
      <c r="A13" s="2" t="s">
        <v>73</v>
      </c>
      <c r="B13" s="71">
        <v>3507</v>
      </c>
      <c r="C13" s="71">
        <v>3537</v>
      </c>
      <c r="D13" s="71">
        <v>3546</v>
      </c>
      <c r="E13" s="71">
        <v>3575</v>
      </c>
      <c r="F13" s="71">
        <v>3658</v>
      </c>
      <c r="G13" s="71">
        <v>3689</v>
      </c>
      <c r="H13" s="71">
        <v>3812</v>
      </c>
      <c r="I13" s="71">
        <v>3935</v>
      </c>
      <c r="J13" s="71">
        <v>4053.8</v>
      </c>
      <c r="K13" s="71">
        <v>4084.7</v>
      </c>
      <c r="L13" s="71">
        <v>4144.3</v>
      </c>
      <c r="M13" s="71">
        <v>4181.8999999999996</v>
      </c>
      <c r="N13" s="71">
        <v>4179.3</v>
      </c>
      <c r="O13" s="71">
        <v>3926.1</v>
      </c>
      <c r="P13" s="71">
        <v>3679.2</v>
      </c>
      <c r="Q13" s="71">
        <v>3645.2</v>
      </c>
      <c r="R13" s="71">
        <v>3625.7</v>
      </c>
      <c r="S13" s="71">
        <v>3541.3</v>
      </c>
      <c r="T13" s="71">
        <v>2415.8000000000002</v>
      </c>
      <c r="U13" s="24">
        <v>2419.3000000000002</v>
      </c>
    </row>
    <row r="14" spans="1:24" x14ac:dyDescent="0.25">
      <c r="A14" s="2" t="s">
        <v>74</v>
      </c>
      <c r="B14" s="71">
        <v>483</v>
      </c>
      <c r="C14" s="71">
        <v>513</v>
      </c>
      <c r="D14" s="71">
        <v>461</v>
      </c>
      <c r="E14" s="71">
        <v>485</v>
      </c>
      <c r="F14" s="71">
        <v>481</v>
      </c>
      <c r="G14" s="71">
        <v>513</v>
      </c>
      <c r="H14" s="71">
        <v>469</v>
      </c>
      <c r="I14" s="71">
        <v>486</v>
      </c>
      <c r="J14" s="71">
        <v>487</v>
      </c>
      <c r="K14" s="71">
        <v>505</v>
      </c>
      <c r="L14" s="71">
        <v>458</v>
      </c>
      <c r="M14" s="71">
        <v>499</v>
      </c>
      <c r="N14" s="71"/>
      <c r="O14" s="71"/>
      <c r="P14" s="71"/>
      <c r="Q14" s="71"/>
      <c r="R14" s="71"/>
      <c r="S14" s="71"/>
      <c r="T14" s="71"/>
      <c r="U14" s="24"/>
    </row>
    <row r="15" spans="1:24" x14ac:dyDescent="0.25"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</row>
    <row r="16" spans="1:24" x14ac:dyDescent="0.25">
      <c r="B16" s="69">
        <v>46022</v>
      </c>
      <c r="C16" s="69">
        <v>45930</v>
      </c>
      <c r="D16" s="69">
        <v>45838</v>
      </c>
      <c r="E16" s="69">
        <v>45747</v>
      </c>
      <c r="F16" s="69">
        <v>45657</v>
      </c>
      <c r="G16" s="69">
        <v>45565</v>
      </c>
      <c r="H16" s="69">
        <v>45473</v>
      </c>
      <c r="I16" s="69">
        <v>45382</v>
      </c>
      <c r="J16" s="69">
        <v>45291</v>
      </c>
      <c r="K16" s="69">
        <v>45199</v>
      </c>
      <c r="L16" s="69">
        <v>45107</v>
      </c>
      <c r="M16" s="69">
        <v>45016</v>
      </c>
      <c r="N16" s="69">
        <v>44926</v>
      </c>
      <c r="O16" s="69">
        <v>44834</v>
      </c>
      <c r="P16" s="69">
        <v>44742</v>
      </c>
      <c r="Q16" s="69">
        <v>44651</v>
      </c>
      <c r="R16" s="69">
        <v>44561</v>
      </c>
      <c r="S16" s="69">
        <v>44469</v>
      </c>
      <c r="T16" s="69">
        <v>44377</v>
      </c>
      <c r="U16" s="64">
        <v>44286</v>
      </c>
    </row>
    <row r="17" spans="1:21" ht="11.1" customHeight="1" x14ac:dyDescent="0.25"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4"/>
    </row>
    <row r="18" spans="1:21" x14ac:dyDescent="0.25">
      <c r="A18" t="s">
        <v>75</v>
      </c>
      <c r="B18" s="65">
        <v>0.60799999999999998</v>
      </c>
      <c r="C18" s="65">
        <v>0.625</v>
      </c>
      <c r="D18" s="65">
        <v>0.61899999999999999</v>
      </c>
      <c r="E18" s="65">
        <v>0.60799999999999998</v>
      </c>
      <c r="F18" s="65">
        <v>0.60799999999999998</v>
      </c>
      <c r="G18" s="65">
        <v>0.59399999999999997</v>
      </c>
      <c r="H18" s="65">
        <v>0.58399999999999996</v>
      </c>
      <c r="I18" s="65">
        <v>0.59599999999999997</v>
      </c>
      <c r="J18" s="65">
        <v>0.59299999999999997</v>
      </c>
      <c r="K18" s="65">
        <v>0.57499999999999996</v>
      </c>
      <c r="L18" s="65">
        <v>0.57299999999999995</v>
      </c>
      <c r="M18" s="65">
        <v>0.56799999999999995</v>
      </c>
      <c r="N18" s="65">
        <v>0.55300000000000005</v>
      </c>
      <c r="O18" s="65">
        <v>0.57299999999999995</v>
      </c>
      <c r="P18" s="65">
        <v>0.59599999999999997</v>
      </c>
      <c r="Q18" s="65">
        <v>0.623</v>
      </c>
      <c r="R18" s="65">
        <v>0.61399999999999999</v>
      </c>
      <c r="S18" s="65">
        <v>0.61499999999999999</v>
      </c>
      <c r="T18" s="65">
        <v>0.57499999999999996</v>
      </c>
      <c r="U18" s="40">
        <v>0.53300000000000003</v>
      </c>
    </row>
    <row r="19" spans="1:21" x14ac:dyDescent="0.25">
      <c r="A19" t="s">
        <v>76</v>
      </c>
      <c r="B19" s="71">
        <v>3714</v>
      </c>
      <c r="C19" s="71">
        <v>3774</v>
      </c>
      <c r="D19" s="71">
        <v>3732</v>
      </c>
      <c r="E19" s="71">
        <v>3772</v>
      </c>
      <c r="F19" s="71">
        <v>3860</v>
      </c>
      <c r="G19" s="71">
        <v>3941</v>
      </c>
      <c r="H19" s="71">
        <v>3997</v>
      </c>
      <c r="I19" s="71">
        <v>4109</v>
      </c>
      <c r="J19" s="71">
        <v>4265</v>
      </c>
      <c r="K19" s="71">
        <v>4383</v>
      </c>
      <c r="L19" s="71">
        <v>4347</v>
      </c>
      <c r="M19" s="71">
        <v>4377</v>
      </c>
      <c r="N19" s="71">
        <v>4410</v>
      </c>
      <c r="O19" s="71">
        <v>4315</v>
      </c>
      <c r="P19" s="71">
        <v>3933</v>
      </c>
      <c r="Q19" s="71">
        <v>3871</v>
      </c>
      <c r="R19" s="71">
        <v>3849</v>
      </c>
      <c r="S19" s="71">
        <v>3857</v>
      </c>
      <c r="T19" s="71">
        <v>2549</v>
      </c>
      <c r="U19" s="24">
        <v>2534</v>
      </c>
    </row>
    <row r="20" spans="1:21" x14ac:dyDescent="0.25">
      <c r="A20" t="s">
        <v>77</v>
      </c>
      <c r="B20" s="42">
        <v>0.1</v>
      </c>
      <c r="C20" s="42">
        <v>0.2</v>
      </c>
      <c r="D20" s="42">
        <v>0.2</v>
      </c>
      <c r="E20" s="42">
        <v>0.2</v>
      </c>
      <c r="F20" s="42">
        <v>0.2</v>
      </c>
      <c r="G20" s="42">
        <v>0.2</v>
      </c>
      <c r="H20" s="42">
        <v>0.2</v>
      </c>
      <c r="I20" s="42">
        <v>0.2</v>
      </c>
      <c r="J20" s="42">
        <v>0.2</v>
      </c>
      <c r="K20" s="42">
        <v>0.3</v>
      </c>
      <c r="L20" s="42">
        <v>0.2</v>
      </c>
      <c r="M20" s="42">
        <v>0.2</v>
      </c>
      <c r="N20" s="42">
        <v>0.3</v>
      </c>
      <c r="O20" s="42">
        <v>0.2</v>
      </c>
      <c r="P20" s="42">
        <v>0.1</v>
      </c>
      <c r="Q20" s="67">
        <v>0</v>
      </c>
      <c r="R20" s="66">
        <v>0</v>
      </c>
      <c r="S20" s="42"/>
      <c r="T20" s="42"/>
      <c r="U20" s="2"/>
    </row>
    <row r="21" spans="1:21" x14ac:dyDescent="0.25"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</row>
    <row r="22" spans="1:21" x14ac:dyDescent="0.25">
      <c r="A22" s="46"/>
    </row>
  </sheetData>
  <pageMargins left="0.7" right="0.7" top="0.75" bottom="0.75" header="0.3" footer="0.3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28472B0D59BD41A6683C71B4DFD5F6" ma:contentTypeVersion="18" ma:contentTypeDescription="Create a new document." ma:contentTypeScope="" ma:versionID="571c248ad906ef8f7cc97541ac3b0498">
  <xsd:schema xmlns:xsd="http://www.w3.org/2001/XMLSchema" xmlns:xs="http://www.w3.org/2001/XMLSchema" xmlns:p="http://schemas.microsoft.com/office/2006/metadata/properties" xmlns:ns2="3f5019fd-7878-47bf-bf50-76ec7482ff13" xmlns:ns3="83901aa3-25bc-4ba5-a8e3-7baa2ef22ab4" targetNamespace="http://schemas.microsoft.com/office/2006/metadata/properties" ma:root="true" ma:fieldsID="0105885a61a87f2d7c1843beb2d9b9eb" ns2:_="" ns3:_="">
    <xsd:import namespace="3f5019fd-7878-47bf-bf50-76ec7482ff13"/>
    <xsd:import namespace="83901aa3-25bc-4ba5-a8e3-7baa2ef22ab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5019fd-7878-47bf-bf50-76ec7482ff1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e97dbc6-6b8e-48f7-9015-0e628346d375}" ma:internalName="TaxCatchAll" ma:showField="CatchAllData" ma:web="3f5019fd-7878-47bf-bf50-76ec7482ff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901aa3-25bc-4ba5-a8e3-7baa2ef22a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280c393-8b35-4ae0-81a2-c1300d6331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f5019fd-7878-47bf-bf50-76ec7482ff13" xsi:nil="true"/>
    <lcf76f155ced4ddcb4097134ff3c332f xmlns="83901aa3-25bc-4ba5-a8e3-7baa2ef22ab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254C9A9-C561-4858-A62C-93925F4F8D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5019fd-7878-47bf-bf50-76ec7482ff13"/>
    <ds:schemaRef ds:uri="83901aa3-25bc-4ba5-a8e3-7baa2ef22a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20BAF2-DAAA-47AA-B60A-E67054AEFA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54D98F-4C27-49D4-8929-2BA94F5E4459}">
  <ds:schemaRefs>
    <ds:schemaRef ds:uri="http://schemas.microsoft.com/office/2006/metadata/properties"/>
    <ds:schemaRef ds:uri="http://schemas.microsoft.com/office/infopath/2007/PartnerControls"/>
    <ds:schemaRef ds:uri="3f5019fd-7878-47bf-bf50-76ec7482ff13"/>
    <ds:schemaRef ds:uri="83901aa3-25bc-4ba5-a8e3-7baa2ef22ab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PL</vt:lpstr>
      <vt:lpstr>BS</vt:lpstr>
      <vt:lpstr>CFA</vt:lpstr>
      <vt:lpstr>Business area</vt:lpstr>
      <vt:lpstr>Country</vt:lpstr>
      <vt:lpstr>Key figures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Christina Jansson</dc:creator>
  <cp:keywords/>
  <dc:description/>
  <cp:lastModifiedBy>Christina Jansson</cp:lastModifiedBy>
  <cp:revision/>
  <dcterms:created xsi:type="dcterms:W3CDTF">2023-04-03T08:05:58Z</dcterms:created>
  <dcterms:modified xsi:type="dcterms:W3CDTF">2026-02-06T10:41:47Z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0x0101005428472B0D59BD41A6683C71B4DFD5F6</vt:lpwstr>
  </property>
  <property fmtid="{D5CDD505-2E9C-101B-9397-08002B2CF9AE}" pid="4" name="MSIP_Label_50821336-263d-4940-a74c-ab7373b99eed_Enabled">
    <vt:lpwstr>true</vt:lpwstr>
  </property>
  <property fmtid="{D5CDD505-2E9C-101B-9397-08002B2CF9AE}" pid="5" name="MSIP_Label_50821336-263d-4940-a74c-ab7373b99eed_SetDate">
    <vt:lpwstr>2024-04-07T18:48:12Z</vt:lpwstr>
  </property>
  <property fmtid="{D5CDD505-2E9C-101B-9397-08002B2CF9AE}" pid="6" name="MSIP_Label_50821336-263d-4940-a74c-ab7373b99eed_Method">
    <vt:lpwstr>Standard</vt:lpwstr>
  </property>
  <property fmtid="{D5CDD505-2E9C-101B-9397-08002B2CF9AE}" pid="7" name="MSIP_Label_50821336-263d-4940-a74c-ab7373b99eed_Name">
    <vt:lpwstr>Internal</vt:lpwstr>
  </property>
  <property fmtid="{D5CDD505-2E9C-101B-9397-08002B2CF9AE}" pid="8" name="MSIP_Label_50821336-263d-4940-a74c-ab7373b99eed_SiteId">
    <vt:lpwstr>6735929c-9dbf-473b-9fc6-5fbdcd2c9fc4</vt:lpwstr>
  </property>
  <property fmtid="{D5CDD505-2E9C-101B-9397-08002B2CF9AE}" pid="9" name="MSIP_Label_50821336-263d-4940-a74c-ab7373b99eed_ActionId">
    <vt:lpwstr>4e0471bf-1e3d-45cc-9291-ab76d8fa99e2</vt:lpwstr>
  </property>
  <property fmtid="{D5CDD505-2E9C-101B-9397-08002B2CF9AE}" pid="10" name="MSIP_Label_50821336-263d-4940-a74c-ab7373b99eed_ContentBits">
    <vt:lpwstr>0</vt:lpwstr>
  </property>
</Properties>
</file>